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16" yWindow="270" windowWidth="7545" windowHeight="4035" tabRatio="599" activeTab="0"/>
  </bookViews>
  <sheets>
    <sheet name="ANEXO 1" sheetId="1" r:id="rId1"/>
    <sheet name="Cuadro 2" sheetId="2" r:id="rId2"/>
    <sheet name="TALLERES" sheetId="3" r:id="rId3"/>
    <sheet name="SERV AEROPORTUARIOS" sheetId="4" r:id="rId4"/>
  </sheets>
  <definedNames>
    <definedName name="_xlnm.Print_Area" localSheetId="0">'ANEXO 1'!$A$1:$F$1</definedName>
    <definedName name="_xlnm.Print_Area" localSheetId="1">'Cuadro 2'!$A$1:$E$38</definedName>
    <definedName name="_xlnm.Print_Titles" localSheetId="1">'Cuadro 2'!$A:$A,'Cuadro 2'!$1:$7</definedName>
  </definedNames>
  <calcPr fullCalcOnLoad="1"/>
</workbook>
</file>

<file path=xl/comments3.xml><?xml version="1.0" encoding="utf-8"?>
<comments xmlns="http://schemas.openxmlformats.org/spreadsheetml/2006/main">
  <authors>
    <author>41738069</author>
  </authors>
  <commentList>
    <comment ref="AZ6" authorId="0">
      <text>
        <r>
          <rPr>
            <b/>
            <sz val="8"/>
            <rFont val="Tahoma"/>
            <family val="0"/>
          </rPr>
          <t>41738069:</t>
        </r>
        <r>
          <rPr>
            <sz val="8"/>
            <rFont val="Tahoma"/>
            <family val="0"/>
          </rPr>
          <t xml:space="preserve">
P Y G NO ES CONCORDANTE CON LAS CIFRAS DEL BALANCE (UTILIDADES DEL EJERCICIO)</t>
        </r>
      </text>
    </comment>
    <comment ref="CH6" authorId="0">
      <text>
        <r>
          <rPr>
            <sz val="6"/>
            <rFont val="Tahoma"/>
            <family val="2"/>
          </rPr>
          <t>incompleta la inforamción , se han enviado dos correos 22 y 28 de junio 20104 - // SE COMPLETA 13 JULO 2010, INF ENV POR CORREOREGFIN</t>
        </r>
      </text>
    </comment>
    <comment ref="CL6" authorId="0">
      <text>
        <r>
          <rPr>
            <b/>
            <sz val="8"/>
            <rFont val="Tahoma"/>
            <family val="0"/>
          </rPr>
          <t>41738069:</t>
        </r>
        <r>
          <rPr>
            <sz val="8"/>
            <rFont val="Tahoma"/>
            <family val="0"/>
          </rPr>
          <t xml:space="preserve">
EST FROS SIN FIRMA</t>
        </r>
      </text>
    </comment>
    <comment ref="CN6" authorId="0">
      <text>
        <r>
          <rPr>
            <b/>
            <sz val="8"/>
            <rFont val="Tahoma"/>
            <family val="0"/>
          </rPr>
          <t>41738069:</t>
        </r>
        <r>
          <rPr>
            <sz val="8"/>
            <rFont val="Tahoma"/>
            <family val="0"/>
          </rPr>
          <t xml:space="preserve">
EST FROS SIN FIRMA</t>
        </r>
      </text>
    </comment>
    <comment ref="DD6" authorId="0">
      <text>
        <r>
          <rPr>
            <b/>
            <sz val="8"/>
            <rFont val="Tahoma"/>
            <family val="0"/>
          </rPr>
          <t>HOY 15 DE JULIO 2010 LLEGO SOLO LOS BALANCES, NO HAY CORREO ELECT PARA SOLICTAR P Y G.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41738069</author>
  </authors>
  <commentList>
    <comment ref="AL6" authorId="0">
      <text>
        <r>
          <rPr>
            <b/>
            <sz val="8"/>
            <rFont val="Tahoma"/>
            <family val="0"/>
          </rPr>
          <t>41738069:</t>
        </r>
        <r>
          <rPr>
            <sz val="8"/>
            <rFont val="Tahoma"/>
            <family val="0"/>
          </rPr>
          <t xml:space="preserve">
NO TRAE BALANCE
hoy 21/06/2010 se compelto la información con lo enviado en 2010025870 - 1/06/2010 al correo de tatis.</t>
        </r>
      </text>
    </comment>
  </commentList>
</comments>
</file>

<file path=xl/sharedStrings.xml><?xml version="1.0" encoding="utf-8"?>
<sst xmlns="http://schemas.openxmlformats.org/spreadsheetml/2006/main" count="277" uniqueCount="159">
  <si>
    <t>TEAVIACION - TALLER ELECTRONICO DE AVIACION</t>
  </si>
  <si>
    <t>POR ACTIVIDAD SERVICIOS AEROPORTUARIOS Y TALLERES  AÑO 2.009</t>
  </si>
  <si>
    <t>ACOSTA Y MOYA LTDA - MOTORES DE AVIACION Y ACCESORIOS</t>
  </si>
  <si>
    <t>AEROTECNICA LTDA</t>
  </si>
  <si>
    <t>LACON LTDA - LABORATORIO DE COMUNICACIÓN Y NEGACION LTDA</t>
  </si>
  <si>
    <t>SERVICIOS AEROELECTRICOS CAMB</t>
  </si>
  <si>
    <t>SOCIEDAD AERONAUTICA DE INTEGRACION TECNICA S.A. - AIRSITE S.A.</t>
  </si>
  <si>
    <t>SAC SERVICIOS AERONAUTICOS DE COLOMBIA LTDA</t>
  </si>
  <si>
    <t>LA S.A. SOCIEDAD DE APOYO AERONAUTICO S.A.</t>
  </si>
  <si>
    <t>INSTRUAVIA LTDA</t>
  </si>
  <si>
    <t>REAVI LTDA</t>
  </si>
  <si>
    <t>LATINOAMERICANA DE SERVICIOS - LASER AEREO LTDA</t>
  </si>
  <si>
    <t>AEROESTRUCTURAS DE COLOMBIA LTDA</t>
  </si>
  <si>
    <t>MARCA PASOS S.A.</t>
  </si>
  <si>
    <t>CANC PERMI</t>
  </si>
  <si>
    <t>DESACOL S.A.</t>
  </si>
  <si>
    <t>No.</t>
  </si>
  <si>
    <t xml:space="preserve">MODALIDAD </t>
  </si>
  <si>
    <t>TOTAL EMPRESAS</t>
  </si>
  <si>
    <t>TOTAL</t>
  </si>
  <si>
    <t>PASIVO CORRIENTE / TOTAL PASIVO</t>
  </si>
  <si>
    <t>BALANCE GENERAL</t>
  </si>
  <si>
    <t xml:space="preserve"> A  C  T  I  V  O  S </t>
  </si>
  <si>
    <t>ACTIVO CORRIENTE</t>
  </si>
  <si>
    <t>ACTIVO FIJO</t>
  </si>
  <si>
    <t>OTROS ACTIVOS</t>
  </si>
  <si>
    <t>TOTAL ACTIVO</t>
  </si>
  <si>
    <t>P  A  S  I  V  O  S</t>
  </si>
  <si>
    <t>PASIVO CORRIENTE</t>
  </si>
  <si>
    <t>PASIVO A LARGO PLAZO</t>
  </si>
  <si>
    <t>OTROS PASIVOS</t>
  </si>
  <si>
    <t>TOTAL PASIVO</t>
  </si>
  <si>
    <t xml:space="preserve">P A T R I M O N I O </t>
  </si>
  <si>
    <t>CAPITAL (PAGADO)</t>
  </si>
  <si>
    <t>UTILIDAD (PERDIDA) DEL EJERCICIO</t>
  </si>
  <si>
    <t>UTILIDAD (PERDIDAS) ACUMULADAS</t>
  </si>
  <si>
    <t>OTROS</t>
  </si>
  <si>
    <t>TOTAL PATRIMONIO</t>
  </si>
  <si>
    <t>TOTAL PASIVO Y PATRIMONIO</t>
  </si>
  <si>
    <t>INGRESOS Y EGRESOS</t>
  </si>
  <si>
    <t>I N G R E S O S</t>
  </si>
  <si>
    <t>INGRESOS OPERACIONALES</t>
  </si>
  <si>
    <t>OTROS INGRESOS</t>
  </si>
  <si>
    <t>TOTAL INGRESOS</t>
  </si>
  <si>
    <t>GIRAG AIR CARGO</t>
  </si>
  <si>
    <t>( miles de $)</t>
  </si>
  <si>
    <t>TAE - TAESCOL - TECNICOS AEROPORTUARIOS DE COLOMBIA LTDA</t>
  </si>
  <si>
    <t>G A S T O S</t>
  </si>
  <si>
    <t>OTROS GASTOS</t>
  </si>
  <si>
    <t>PROVISION PARA IMPUESTOS</t>
  </si>
  <si>
    <t>TOTAL GASTOS</t>
  </si>
  <si>
    <t>UTILIDAD (PERDIDA) OPERACIONAL</t>
  </si>
  <si>
    <t xml:space="preserve">UTILIDAD (PERDIDA) NETA        </t>
  </si>
  <si>
    <t>D E   L I Q U I D E Z</t>
  </si>
  <si>
    <t>D E  E N D E U D A M I E N T O</t>
  </si>
  <si>
    <t xml:space="preserve">TOTAL PASIVO/PATRIMONIO </t>
  </si>
  <si>
    <t xml:space="preserve">PASIVO LARGO PLAZO/PATRIMONIO </t>
  </si>
  <si>
    <t>TOTAL PASIVO / TOTAL ACTIVO</t>
  </si>
  <si>
    <t>D E  S O L I D E Z</t>
  </si>
  <si>
    <t>ACTIVO TOTAL/ PASIVO TOTAL</t>
  </si>
  <si>
    <t>D E  E S T A B I L I D A D</t>
  </si>
  <si>
    <t>ACTIVO FIJO/ PASIVO LARGO PLAZO</t>
  </si>
  <si>
    <t>DE PROPIEDAD DE LA EMPRESA</t>
  </si>
  <si>
    <t>D E   R E N T A B I L I D A D</t>
  </si>
  <si>
    <t>UTILIDAD NETA/INGRESOS TOTALES</t>
  </si>
  <si>
    <t>C A P I T A L   T R A B A J O</t>
  </si>
  <si>
    <t>ACTIVO CORRIENTE-PASIVO CORRIENTE</t>
  </si>
  <si>
    <t>TOTAL PATRIMONIO/TOTAL ACTIVO</t>
  </si>
  <si>
    <t>RUBROS / PERIODOS</t>
  </si>
  <si>
    <t>TOTAL ACTIVO/ PASIVO CORRIENTE</t>
  </si>
  <si>
    <t>TOTAL ACTIVO/TOTAL PASIVO</t>
  </si>
  <si>
    <t>UTILIDAD OPER./INGRESO OPER.</t>
  </si>
  <si>
    <t>RAZON CORRIENTE:A.Corriente/P.Corriente</t>
  </si>
  <si>
    <t>COSTOS Y GASTOS OPERACIONALES</t>
  </si>
  <si>
    <t>(miles de pesos)</t>
  </si>
  <si>
    <t>ESTADOS FINANCIEROS CONSOLIDADOS</t>
  </si>
  <si>
    <t>COEFICIENTES FINANCIEROS</t>
  </si>
  <si>
    <t xml:space="preserve">No. </t>
  </si>
  <si>
    <t xml:space="preserve">CUMPLIMIENTO EN EL ENVÍO DE LA INFORMACIÓN FINANCIERA </t>
  </si>
  <si>
    <t>EDOS FINANC.</t>
  </si>
  <si>
    <t>PART.%</t>
  </si>
  <si>
    <t>CUADRO No. 1</t>
  </si>
  <si>
    <t>CUADRO N° 2</t>
  </si>
  <si>
    <t>F U E N T E :  Cuadro No. 2</t>
  </si>
  <si>
    <t>CUMPLIMIENTO</t>
  </si>
  <si>
    <t>MANTENIMIENTO AC</t>
  </si>
  <si>
    <t>TRANSAEREO</t>
  </si>
  <si>
    <t>AEROGROUND</t>
  </si>
  <si>
    <t>AVIOPARTES</t>
  </si>
  <si>
    <t>TALLERES</t>
  </si>
  <si>
    <t>SAEROH</t>
  </si>
  <si>
    <t>AERCOL</t>
  </si>
  <si>
    <t>CUADRO N° 4</t>
  </si>
  <si>
    <t>CUADRO N° 10</t>
  </si>
  <si>
    <t>AEROGRUPO</t>
  </si>
  <si>
    <t>TADEMA</t>
  </si>
  <si>
    <t>AEROESTRUCTURAS LEONOR</t>
  </si>
  <si>
    <t>TAMOCOL</t>
  </si>
  <si>
    <t>EMPRESAS DE AVIACION CIVIL - ACTIVIDADES CONEXAS</t>
  </si>
  <si>
    <t>SERVICIOS AEROPORTUARIOS</t>
  </si>
  <si>
    <t>F U E N T E :  Cuadro No. 4</t>
  </si>
  <si>
    <t>F U E N T E :  Cuadro No. 12</t>
  </si>
  <si>
    <t>TARPA LTDA (TALLER DE REPARACION Y MANTO PARA AVIONES)</t>
  </si>
  <si>
    <t>SATEC</t>
  </si>
  <si>
    <t>HELICES DEL META LTDA</t>
  </si>
  <si>
    <t>EL SUPER JUMBO DEL LLANO LTDA</t>
  </si>
  <si>
    <t>INSPECCIONES AERONAUTICAS DE COLOMBIA LTDA</t>
  </si>
  <si>
    <t>AERORADIO - AVIONICA</t>
  </si>
  <si>
    <t>ISOTEC LTDA - INSPECCION Y DIAGNOSTICO TECNICO</t>
  </si>
  <si>
    <t>PRECISION AEREO LTDA - AERONAUTICAL AND INDUSTRIAL SUPPORT</t>
  </si>
  <si>
    <t>AEROCONTROL</t>
  </si>
  <si>
    <t>AEROELECTRONICA LTDA</t>
  </si>
  <si>
    <t>AEROTALLERES DEL ORIENTE LTDA</t>
  </si>
  <si>
    <t>AVIA ACCESORIOS LTDA</t>
  </si>
  <si>
    <t>AVIONICA GENERAL DE COLOMBIA LTDA</t>
  </si>
  <si>
    <t>CORPORACION AERONET LTDA</t>
  </si>
  <si>
    <t>CORPORACION DE AVIACION CONDOR S.A.</t>
  </si>
  <si>
    <t>CIAC</t>
  </si>
  <si>
    <t xml:space="preserve">PRECISO ELECTRONICA Y CIA LTDA </t>
  </si>
  <si>
    <t>AVIONICA DE OCCIDENTE ltda</t>
  </si>
  <si>
    <t>SIALAS LTDA - SERVICIOS INTEGRALES AERNAUTICOS</t>
  </si>
  <si>
    <t>NGC -AVIONICA E INSTRUMENTOS ANDINOS LTDA</t>
  </si>
  <si>
    <t>TALLER DE AVIACION CAICEDO LTDA</t>
  </si>
  <si>
    <t>TECNIAEREAS DE COLOMBIA LTDA</t>
  </si>
  <si>
    <t>LA GARANTIA CARGO LTDA "LAGARCA"</t>
  </si>
  <si>
    <t>TALLERES DE AVIACION DEL PACIFICO LTDA</t>
  </si>
  <si>
    <t>COMPAÑÍA NACIONAL AERONAUTICA LTDA</t>
  </si>
  <si>
    <t>ACAVEL LTDA</t>
  </si>
  <si>
    <t>LABORATORIOS AEROBENSO Y CIA LTDA</t>
  </si>
  <si>
    <t>GRUPO SERVICIOS AEROPORTUARIOS</t>
  </si>
  <si>
    <t>SERVICIOS AEROPOTUARIOS INTEGRADOS SAI LTDA</t>
  </si>
  <si>
    <t xml:space="preserve">HELICENTRO </t>
  </si>
  <si>
    <t>AEROAINCO LTDA</t>
  </si>
  <si>
    <t>AERO-HELICES LTDA</t>
  </si>
  <si>
    <t>ELECTROAVIACION (ELECTRONICA DE AVIACION LTDA</t>
  </si>
  <si>
    <t xml:space="preserve">HORIZONTAL DE AVIACION (TALLER AERONAUTICO DE REPARACIONES </t>
  </si>
  <si>
    <t>INDAER - INDUSTRIAL AERONAUTICA S.A.</t>
  </si>
  <si>
    <t>MAV - MANTENIMIENTO AEREO DEL VALLE</t>
  </si>
  <si>
    <t>RMI - TECNOLOGIA AMERICANA LTDA</t>
  </si>
  <si>
    <t>SAR - TAR SERVICIOS AERONAUTICOS DEL RISARALDA S.A.S</t>
  </si>
  <si>
    <t>CMR (CENTRO DE MANTO Y REPARAC DE HELICOPTEROS RUSOS)</t>
  </si>
  <si>
    <t>AVIONES DE COLOMBIA (MANTO Y REPARAC DE AVIONES, ESTRUCTURAS. HELICES Y GOVERNADORES)</t>
  </si>
  <si>
    <t>RAFAEL ESPINOSA Y CIA S.C.A.(SERVICIOS AEROPORTUARIOS</t>
  </si>
  <si>
    <t>SAYT LTDA</t>
  </si>
  <si>
    <t>SIATO (SERVICIOS INTEGRALES PARA LA AVIACION Y EL TURISMO)</t>
  </si>
  <si>
    <t>ACI CARGO LOGISTICA S.A.(AGENTE DE CARGA INTERNACIONAL)</t>
  </si>
  <si>
    <t>SERTAR LTDA - SERVICIOS TECNICOS AERONAUTICOS</t>
  </si>
  <si>
    <t>SERTAR LTDA (SERVICIOS TECNICOS AERONAUTICOS)</t>
  </si>
  <si>
    <t>CRISTIAN CABRALES Y CIA LTDA(AGENTE DEPRISA CARGA MONTERIA-SINCELEJO  - AGENTE AIRES MONTERIA)</t>
  </si>
  <si>
    <t>GOLDEN FLIGHT LTDA (COMPAÑÍA DE SERVICIOS AEROPORTURIOS)</t>
  </si>
  <si>
    <t xml:space="preserve">SAECOL (SERVICIOS AEREOS ESPECIALES DE COLOMBIA S.A.) </t>
  </si>
  <si>
    <t>SEM (AEROSERVICIOS MAJAGUAL LTDA)</t>
  </si>
  <si>
    <t>AEROTURBO DE COLOMBIA LTDA</t>
  </si>
  <si>
    <t>Fuente: Estados Financieros de 2009 - 2,008 de las empresas Servicios Aeroportuarios y talleres</t>
  </si>
  <si>
    <t>Fuente: Estados Financieros de 2,009 - 2008</t>
  </si>
  <si>
    <t>SERVICIOS AEROPORTUARIOS - AÑO 2,009 - 2008</t>
  </si>
  <si>
    <t>Fuente : Cuadro Excel control recepción Estados Financieros 2009</t>
  </si>
  <si>
    <t>POR ACTIVIDAD - AÑO 2.009 - 2008</t>
  </si>
  <si>
    <t>TALLERES - AÑO 2,009 - 2008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</si>
</sst>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%"/>
    <numFmt numFmtId="177" formatCode="_-* #,##0_-;\-* #,##0_-;_-* &quot;-&quot;??_-;_-@_-"/>
    <numFmt numFmtId="178" formatCode="_-* #,##0.0_-;\-* #,##0.0_-;_-* &quot;-&quot;??_-;_-@_-"/>
    <numFmt numFmtId="179" formatCode="0_)"/>
    <numFmt numFmtId="180" formatCode="#,##0.00\ _€"/>
    <numFmt numFmtId="181" formatCode="0.000000"/>
    <numFmt numFmtId="182" formatCode="0.00000"/>
    <numFmt numFmtId="183" formatCode="0.0000"/>
    <numFmt numFmtId="184" formatCode="0.000"/>
    <numFmt numFmtId="185" formatCode="_ * #,##0.000_ ;_ * \-#,##0.000_ ;_ * &quot;-&quot;?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 * #,##0_ ;_ * \-#,##0_ ;_ * &quot;-&quot;??_ ;_ @_ "/>
    <numFmt numFmtId="191" formatCode="_(* #,##0.00_);_(* \(#,##0.00\);_(* &quot;-&quot;_);_(@_)"/>
    <numFmt numFmtId="192" formatCode="_(* #,##0_);_(* \(#,##0\);_(* &quot;-&quot;??_);_(@_)"/>
  </numFmts>
  <fonts count="6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Helv"/>
      <family val="0"/>
    </font>
    <font>
      <b/>
      <sz val="10"/>
      <color indexed="8"/>
      <name val="Times New Roman"/>
      <family val="1"/>
    </font>
    <font>
      <sz val="10"/>
      <color indexed="8"/>
      <name val="Helv"/>
      <family val="0"/>
    </font>
    <font>
      <b/>
      <sz val="10"/>
      <color indexed="8"/>
      <name val="Helv"/>
      <family val="0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2.75"/>
      <color indexed="8"/>
      <name val="Arial"/>
      <family val="2"/>
    </font>
    <font>
      <sz val="2.5"/>
      <color indexed="8"/>
      <name val="Arial"/>
      <family val="2"/>
    </font>
    <font>
      <b/>
      <sz val="3.25"/>
      <color indexed="8"/>
      <name val="Arial"/>
      <family val="2"/>
    </font>
    <font>
      <sz val="3.5"/>
      <color indexed="8"/>
      <name val="Arial"/>
      <family val="2"/>
    </font>
    <font>
      <sz val="1.75"/>
      <color indexed="8"/>
      <name val="Arial"/>
      <family val="2"/>
    </font>
    <font>
      <sz val="2.25"/>
      <color indexed="8"/>
      <name val="Arial"/>
      <family val="2"/>
    </font>
    <font>
      <sz val="1.5"/>
      <color indexed="8"/>
      <name val="Arial"/>
      <family val="2"/>
    </font>
    <font>
      <b/>
      <sz val="3.5"/>
      <color indexed="8"/>
      <name val="Arial"/>
      <family val="2"/>
    </font>
    <font>
      <sz val="6.4"/>
      <color indexed="8"/>
      <name val="Arial"/>
      <family val="2"/>
    </font>
    <font>
      <sz val="3"/>
      <color indexed="8"/>
      <name val="Arial"/>
      <family val="2"/>
    </font>
    <font>
      <sz val="3.25"/>
      <color indexed="8"/>
      <name val="Arial"/>
      <family val="2"/>
    </font>
    <font>
      <sz val="4"/>
      <color indexed="8"/>
      <name val="Arial"/>
      <family val="2"/>
    </font>
    <font>
      <sz val="2"/>
      <color indexed="8"/>
      <name val="Arial"/>
      <family val="2"/>
    </font>
    <font>
      <sz val="5.5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.75"/>
      <color indexed="8"/>
      <name val="Arial"/>
      <family val="2"/>
    </font>
    <font>
      <b/>
      <sz val="3"/>
      <color indexed="8"/>
      <name val="Arial"/>
      <family val="2"/>
    </font>
    <font>
      <b/>
      <sz val="1.5"/>
      <color indexed="8"/>
      <name val="Arial"/>
      <family val="2"/>
    </font>
    <font>
      <b/>
      <sz val="1.25"/>
      <color indexed="8"/>
      <name val="Arial"/>
      <family val="2"/>
    </font>
    <font>
      <b/>
      <sz val="2.5"/>
      <color indexed="8"/>
      <name val="Arial"/>
      <family val="2"/>
    </font>
    <font>
      <b/>
      <sz val="8"/>
      <color indexed="12"/>
      <name val="Times New Roman"/>
      <family val="1"/>
    </font>
    <font>
      <sz val="6"/>
      <name val="Tahoma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4" borderId="0" applyNumberFormat="0" applyBorder="0" applyAlignment="0" applyProtection="0"/>
    <xf numFmtId="0" fontId="39" fillId="16" borderId="1" applyNumberFormat="0" applyAlignment="0" applyProtection="0"/>
    <xf numFmtId="0" fontId="40" fillId="1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3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6" fillId="16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center"/>
      <protection/>
    </xf>
    <xf numFmtId="169" fontId="3" fillId="0" borderId="0" xfId="0" applyNumberFormat="1" applyFont="1" applyFill="1" applyBorder="1" applyAlignment="1" applyProtection="1">
      <alignment horizontal="left"/>
      <protection/>
    </xf>
    <xf numFmtId="169" fontId="2" fillId="0" borderId="0" xfId="0" applyNumberFormat="1" applyFont="1" applyFill="1" applyBorder="1" applyAlignment="1" applyProtection="1">
      <alignment horizontal="right"/>
      <protection/>
    </xf>
    <xf numFmtId="169" fontId="2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 applyProtection="1">
      <alignment horizontal="right"/>
      <protection/>
    </xf>
    <xf numFmtId="169" fontId="3" fillId="0" borderId="0" xfId="0" applyNumberFormat="1" applyFont="1" applyFill="1" applyBorder="1" applyAlignment="1" applyProtection="1">
      <alignment horizontal="right"/>
      <protection/>
    </xf>
    <xf numFmtId="169" fontId="5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16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1" xfId="0" applyFont="1" applyBorder="1" applyAlignment="1">
      <alignment/>
    </xf>
    <xf numFmtId="9" fontId="11" fillId="0" borderId="12" xfId="54" applyFont="1" applyBorder="1" applyAlignment="1">
      <alignment/>
    </xf>
    <xf numFmtId="0" fontId="13" fillId="16" borderId="13" xfId="0" applyFont="1" applyFill="1" applyBorder="1" applyAlignment="1">
      <alignment/>
    </xf>
    <xf numFmtId="9" fontId="13" fillId="16" borderId="13" xfId="54" applyFont="1" applyFill="1" applyBorder="1" applyAlignment="1">
      <alignment/>
    </xf>
    <xf numFmtId="37" fontId="14" fillId="0" borderId="14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5" xfId="0" applyFont="1" applyBorder="1" applyAlignment="1">
      <alignment/>
    </xf>
    <xf numFmtId="9" fontId="11" fillId="0" borderId="16" xfId="54" applyFont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/>
    </xf>
    <xf numFmtId="169" fontId="1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7" fontId="14" fillId="0" borderId="13" xfId="0" applyNumberFormat="1" applyFont="1" applyFill="1" applyBorder="1" applyAlignment="1" applyProtection="1">
      <alignment horizontal="center"/>
      <protection/>
    </xf>
    <xf numFmtId="37" fontId="14" fillId="0" borderId="12" xfId="0" applyNumberFormat="1" applyFont="1" applyFill="1" applyBorder="1" applyAlignment="1" applyProtection="1">
      <alignment horizontal="left"/>
      <protection/>
    </xf>
    <xf numFmtId="37" fontId="14" fillId="0" borderId="17" xfId="0" applyNumberFormat="1" applyFont="1" applyFill="1" applyBorder="1" applyAlignment="1" applyProtection="1">
      <alignment horizontal="center"/>
      <protection/>
    </xf>
    <xf numFmtId="37" fontId="14" fillId="0" borderId="12" xfId="0" applyNumberFormat="1" applyFont="1" applyFill="1" applyBorder="1" applyAlignment="1" applyProtection="1">
      <alignment horizontal="center"/>
      <protection/>
    </xf>
    <xf numFmtId="37" fontId="14" fillId="0" borderId="18" xfId="0" applyNumberFormat="1" applyFont="1" applyFill="1" applyBorder="1" applyAlignment="1" applyProtection="1">
      <alignment horizontal="left"/>
      <protection/>
    </xf>
    <xf numFmtId="169" fontId="14" fillId="0" borderId="18" xfId="0" applyNumberFormat="1" applyFont="1" applyFill="1" applyBorder="1" applyAlignment="1" applyProtection="1">
      <alignment horizontal="left"/>
      <protection/>
    </xf>
    <xf numFmtId="37" fontId="17" fillId="0" borderId="18" xfId="0" applyNumberFormat="1" applyFont="1" applyFill="1" applyBorder="1" applyAlignment="1" applyProtection="1">
      <alignment horizontal="left"/>
      <protection/>
    </xf>
    <xf numFmtId="169" fontId="17" fillId="0" borderId="18" xfId="0" applyNumberFormat="1" applyFont="1" applyFill="1" applyBorder="1" applyAlignment="1" applyProtection="1">
      <alignment horizontal="right"/>
      <protection/>
    </xf>
    <xf numFmtId="169" fontId="15" fillId="0" borderId="18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37" fontId="17" fillId="0" borderId="18" xfId="0" applyNumberFormat="1" applyFont="1" applyFill="1" applyBorder="1" applyAlignment="1" applyProtection="1" quotePrefix="1">
      <alignment horizontal="left"/>
      <protection/>
    </xf>
    <xf numFmtId="37" fontId="14" fillId="0" borderId="18" xfId="0" applyNumberFormat="1" applyFont="1" applyFill="1" applyBorder="1" applyAlignment="1" applyProtection="1" quotePrefix="1">
      <alignment horizontal="left"/>
      <protection/>
    </xf>
    <xf numFmtId="37" fontId="14" fillId="0" borderId="19" xfId="0" applyNumberFormat="1" applyFont="1" applyFill="1" applyBorder="1" applyAlignment="1" applyProtection="1" quotePrefix="1">
      <alignment horizontal="left"/>
      <protection/>
    </xf>
    <xf numFmtId="169" fontId="15" fillId="0" borderId="19" xfId="0" applyNumberFormat="1" applyFont="1" applyFill="1" applyBorder="1" applyAlignment="1" applyProtection="1">
      <alignment horizontal="right"/>
      <protection locked="0"/>
    </xf>
    <xf numFmtId="37" fontId="14" fillId="0" borderId="0" xfId="0" applyNumberFormat="1" applyFont="1" applyFill="1" applyBorder="1" applyAlignment="1" applyProtection="1">
      <alignment horizontal="left"/>
      <protection/>
    </xf>
    <xf numFmtId="4" fontId="18" fillId="0" borderId="20" xfId="0" applyNumberFormat="1" applyFont="1" applyFill="1" applyBorder="1" applyAlignment="1" applyProtection="1">
      <alignment horizontal="right"/>
      <protection/>
    </xf>
    <xf numFmtId="4" fontId="18" fillId="0" borderId="20" xfId="0" applyNumberFormat="1" applyFont="1" applyFill="1" applyBorder="1" applyAlignment="1" applyProtection="1">
      <alignment horizontal="right"/>
      <protection locked="0"/>
    </xf>
    <xf numFmtId="169" fontId="18" fillId="0" borderId="20" xfId="0" applyNumberFormat="1" applyFont="1" applyFill="1" applyBorder="1" applyAlignment="1">
      <alignment horizontal="right"/>
    </xf>
    <xf numFmtId="37" fontId="14" fillId="0" borderId="21" xfId="0" applyNumberFormat="1" applyFont="1" applyFill="1" applyBorder="1" applyAlignment="1" applyProtection="1">
      <alignment horizontal="left"/>
      <protection/>
    </xf>
    <xf numFmtId="177" fontId="17" fillId="0" borderId="21" xfId="48" applyNumberFormat="1" applyFont="1" applyFill="1" applyBorder="1" applyAlignment="1" applyProtection="1">
      <alignment horizontal="left"/>
      <protection/>
    </xf>
    <xf numFmtId="37" fontId="17" fillId="0" borderId="21" xfId="0" applyNumberFormat="1" applyFont="1" applyFill="1" applyBorder="1" applyAlignment="1" applyProtection="1">
      <alignment horizontal="left"/>
      <protection/>
    </xf>
    <xf numFmtId="37" fontId="17" fillId="0" borderId="21" xfId="0" applyNumberFormat="1" applyFont="1" applyFill="1" applyBorder="1" applyAlignment="1" applyProtection="1" quotePrefix="1">
      <alignment horizontal="left"/>
      <protection/>
    </xf>
    <xf numFmtId="37" fontId="17" fillId="0" borderId="22" xfId="0" applyNumberFormat="1" applyFont="1" applyFill="1" applyBorder="1" applyAlignment="1" applyProtection="1" quotePrefix="1">
      <alignment horizontal="left"/>
      <protection/>
    </xf>
    <xf numFmtId="37" fontId="14" fillId="0" borderId="23" xfId="0" applyNumberFormat="1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12" fillId="0" borderId="20" xfId="0" applyFont="1" applyBorder="1" applyAlignment="1">
      <alignment horizontal="center"/>
    </xf>
    <xf numFmtId="177" fontId="0" fillId="0" borderId="20" xfId="48" applyNumberFormat="1" applyFont="1" applyBorder="1" applyAlignment="1">
      <alignment/>
    </xf>
    <xf numFmtId="177" fontId="12" fillId="0" borderId="20" xfId="48" applyNumberFormat="1" applyFont="1" applyBorder="1" applyAlignment="1">
      <alignment/>
    </xf>
    <xf numFmtId="0" fontId="0" fillId="0" borderId="21" xfId="0" applyBorder="1" applyAlignment="1">
      <alignment/>
    </xf>
    <xf numFmtId="0" fontId="12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21" xfId="0" applyFont="1" applyBorder="1" applyAlignment="1">
      <alignment/>
    </xf>
    <xf numFmtId="0" fontId="12" fillId="0" borderId="23" xfId="0" applyFont="1" applyBorder="1" applyAlignment="1">
      <alignment/>
    </xf>
    <xf numFmtId="0" fontId="0" fillId="0" borderId="25" xfId="0" applyBorder="1" applyAlignment="1">
      <alignment/>
    </xf>
    <xf numFmtId="0" fontId="12" fillId="0" borderId="26" xfId="0" applyFont="1" applyBorder="1" applyAlignment="1">
      <alignment horizontal="center"/>
    </xf>
    <xf numFmtId="177" fontId="0" fillId="0" borderId="20" xfId="48" applyNumberFormat="1" applyFont="1" applyFill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" fontId="0" fillId="0" borderId="20" xfId="0" applyNumberFormat="1" applyBorder="1" applyAlignment="1">
      <alignment/>
    </xf>
    <xf numFmtId="177" fontId="17" fillId="0" borderId="21" xfId="48" applyNumberFormat="1" applyFont="1" applyBorder="1" applyAlignment="1" applyProtection="1">
      <alignment horizontal="left"/>
      <protection/>
    </xf>
    <xf numFmtId="37" fontId="17" fillId="0" borderId="21" xfId="0" applyNumberFormat="1" applyFont="1" applyBorder="1" applyAlignment="1" applyProtection="1">
      <alignment horizontal="left"/>
      <protection/>
    </xf>
    <xf numFmtId="37" fontId="17" fillId="0" borderId="21" xfId="0" applyNumberFormat="1" applyFont="1" applyBorder="1" applyAlignment="1" applyProtection="1" quotePrefix="1">
      <alignment horizontal="left"/>
      <protection/>
    </xf>
    <xf numFmtId="37" fontId="17" fillId="0" borderId="22" xfId="0" applyNumberFormat="1" applyFont="1" applyBorder="1" applyAlignment="1" applyProtection="1" quotePrefix="1">
      <alignment horizontal="left"/>
      <protection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7" fontId="0" fillId="0" borderId="0" xfId="0" applyNumberFormat="1" applyAlignment="1">
      <alignment/>
    </xf>
    <xf numFmtId="0" fontId="13" fillId="0" borderId="27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2" fillId="0" borderId="30" xfId="0" applyFont="1" applyBorder="1" applyAlignment="1">
      <alignment horizontal="center"/>
    </xf>
    <xf numFmtId="169" fontId="18" fillId="0" borderId="2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>
      <alignment horizontal="left"/>
    </xf>
    <xf numFmtId="37" fontId="1" fillId="0" borderId="0" xfId="0" applyNumberFormat="1" applyFont="1" applyFill="1" applyBorder="1" applyAlignment="1" applyProtection="1">
      <alignment/>
      <protection/>
    </xf>
    <xf numFmtId="37" fontId="3" fillId="0" borderId="31" xfId="0" applyNumberFormat="1" applyFont="1" applyFill="1" applyBorder="1" applyAlignment="1" applyProtection="1">
      <alignment horizontal="center"/>
      <protection/>
    </xf>
    <xf numFmtId="37" fontId="3" fillId="0" borderId="17" xfId="0" applyNumberFormat="1" applyFont="1" applyFill="1" applyBorder="1" applyAlignment="1" applyProtection="1">
      <alignment horizontal="center"/>
      <protection/>
    </xf>
    <xf numFmtId="169" fontId="3" fillId="0" borderId="18" xfId="0" applyNumberFormat="1" applyFont="1" applyFill="1" applyBorder="1" applyAlignment="1" applyProtection="1">
      <alignment horizontal="left"/>
      <protection/>
    </xf>
    <xf numFmtId="177" fontId="0" fillId="0" borderId="29" xfId="48" applyNumberFormat="1" applyFont="1" applyBorder="1" applyAlignment="1">
      <alignment/>
    </xf>
    <xf numFmtId="177" fontId="12" fillId="0" borderId="29" xfId="48" applyNumberFormat="1" applyFont="1" applyBorder="1" applyAlignment="1">
      <alignment/>
    </xf>
    <xf numFmtId="37" fontId="17" fillId="0" borderId="32" xfId="0" applyNumberFormat="1" applyFont="1" applyFill="1" applyBorder="1" applyAlignment="1" applyProtection="1">
      <alignment horizontal="left"/>
      <protection/>
    </xf>
    <xf numFmtId="37" fontId="17" fillId="0" borderId="33" xfId="0" applyNumberFormat="1" applyFont="1" applyFill="1" applyBorder="1" applyAlignment="1" applyProtection="1">
      <alignment horizontal="left"/>
      <protection/>
    </xf>
    <xf numFmtId="37" fontId="17" fillId="0" borderId="33" xfId="0" applyNumberFormat="1" applyFont="1" applyFill="1" applyBorder="1" applyAlignment="1" applyProtection="1" quotePrefix="1">
      <alignment horizontal="left"/>
      <protection/>
    </xf>
    <xf numFmtId="37" fontId="17" fillId="0" borderId="34" xfId="0" applyNumberFormat="1" applyFont="1" applyFill="1" applyBorder="1" applyAlignment="1" applyProtection="1">
      <alignment horizontal="left"/>
      <protection/>
    </xf>
    <xf numFmtId="177" fontId="17" fillId="0" borderId="35" xfId="48" applyNumberFormat="1" applyFont="1" applyFill="1" applyBorder="1" applyAlignment="1" applyProtection="1">
      <alignment horizontal="left"/>
      <protection/>
    </xf>
    <xf numFmtId="37" fontId="17" fillId="0" borderId="35" xfId="0" applyNumberFormat="1" applyFont="1" applyFill="1" applyBorder="1" applyAlignment="1" applyProtection="1">
      <alignment horizontal="left"/>
      <protection/>
    </xf>
    <xf numFmtId="37" fontId="17" fillId="0" borderId="36" xfId="0" applyNumberFormat="1" applyFont="1" applyFill="1" applyBorder="1" applyAlignment="1" applyProtection="1" quotePrefix="1">
      <alignment horizontal="left"/>
      <protection/>
    </xf>
    <xf numFmtId="4" fontId="18" fillId="0" borderId="25" xfId="0" applyNumberFormat="1" applyFont="1" applyFill="1" applyBorder="1" applyAlignment="1" applyProtection="1">
      <alignment horizontal="right"/>
      <protection/>
    </xf>
    <xf numFmtId="4" fontId="18" fillId="0" borderId="37" xfId="0" applyNumberFormat="1" applyFont="1" applyFill="1" applyBorder="1" applyAlignment="1" applyProtection="1">
      <alignment horizontal="right"/>
      <protection/>
    </xf>
    <xf numFmtId="4" fontId="18" fillId="0" borderId="25" xfId="0" applyNumberFormat="1" applyFont="1" applyFill="1" applyBorder="1" applyAlignment="1" applyProtection="1">
      <alignment horizontal="right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4" fontId="18" fillId="0" borderId="30" xfId="0" applyNumberFormat="1" applyFont="1" applyFill="1" applyBorder="1" applyAlignment="1" applyProtection="1">
      <alignment horizontal="right"/>
      <protection/>
    </xf>
    <xf numFmtId="0" fontId="0" fillId="16" borderId="20" xfId="0" applyFill="1" applyBorder="1" applyAlignment="1">
      <alignment/>
    </xf>
    <xf numFmtId="0" fontId="12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16" borderId="25" xfId="0" applyFill="1" applyBorder="1" applyAlignment="1">
      <alignment/>
    </xf>
    <xf numFmtId="177" fontId="0" fillId="16" borderId="20" xfId="48" applyNumberFormat="1" applyFont="1" applyFill="1" applyBorder="1" applyAlignment="1">
      <alignment/>
    </xf>
    <xf numFmtId="177" fontId="12" fillId="16" borderId="20" xfId="48" applyNumberFormat="1" applyFont="1" applyFill="1" applyBorder="1" applyAlignment="1">
      <alignment/>
    </xf>
    <xf numFmtId="0" fontId="0" fillId="16" borderId="20" xfId="0" applyFont="1" applyFill="1" applyBorder="1" applyAlignment="1">
      <alignment/>
    </xf>
    <xf numFmtId="177" fontId="0" fillId="16" borderId="20" xfId="48" applyNumberFormat="1" applyFont="1" applyFill="1" applyBorder="1" applyAlignment="1">
      <alignment/>
    </xf>
    <xf numFmtId="177" fontId="12" fillId="16" borderId="20" xfId="48" applyNumberFormat="1" applyFont="1" applyFill="1" applyBorder="1" applyAlignment="1">
      <alignment/>
    </xf>
    <xf numFmtId="177" fontId="0" fillId="16" borderId="20" xfId="48" applyNumberFormat="1" applyFont="1" applyFill="1" applyBorder="1" applyAlignment="1">
      <alignment/>
    </xf>
    <xf numFmtId="0" fontId="0" fillId="16" borderId="28" xfId="0" applyFill="1" applyBorder="1" applyAlignment="1">
      <alignment/>
    </xf>
    <xf numFmtId="0" fontId="0" fillId="16" borderId="29" xfId="0" applyFill="1" applyBorder="1" applyAlignment="1">
      <alignment/>
    </xf>
    <xf numFmtId="177" fontId="0" fillId="16" borderId="20" xfId="48" applyNumberFormat="1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0" xfId="0" applyFill="1" applyAlignment="1">
      <alignment/>
    </xf>
    <xf numFmtId="0" fontId="0" fillId="0" borderId="38" xfId="0" applyBorder="1" applyAlignment="1">
      <alignment/>
    </xf>
    <xf numFmtId="0" fontId="12" fillId="14" borderId="30" xfId="0" applyFont="1" applyFill="1" applyBorder="1" applyAlignment="1">
      <alignment horizontal="center"/>
    </xf>
    <xf numFmtId="169" fontId="58" fillId="0" borderId="18" xfId="0" applyNumberFormat="1" applyFont="1" applyFill="1" applyBorder="1" applyAlignment="1" applyProtection="1">
      <alignment horizontal="right"/>
      <protection/>
    </xf>
    <xf numFmtId="10" fontId="11" fillId="0" borderId="0" xfId="0" applyNumberFormat="1" applyFont="1" applyFill="1" applyAlignment="1">
      <alignment/>
    </xf>
    <xf numFmtId="177" fontId="0" fillId="11" borderId="0" xfId="0" applyNumberFormat="1" applyFill="1" applyAlignment="1">
      <alignment/>
    </xf>
    <xf numFmtId="0" fontId="11" fillId="17" borderId="0" xfId="0" applyFont="1" applyFill="1" applyAlignment="1">
      <alignment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0" fontId="12" fillId="14" borderId="30" xfId="0" applyFont="1" applyFill="1" applyBorder="1" applyAlignment="1">
      <alignment vertical="center" wrapText="1"/>
    </xf>
    <xf numFmtId="4" fontId="18" fillId="0" borderId="39" xfId="0" applyNumberFormat="1" applyFont="1" applyFill="1" applyBorder="1" applyAlignment="1" applyProtection="1">
      <alignment horizontal="right"/>
      <protection/>
    </xf>
    <xf numFmtId="4" fontId="18" fillId="0" borderId="40" xfId="0" applyNumberFormat="1" applyFont="1" applyFill="1" applyBorder="1" applyAlignment="1" applyProtection="1">
      <alignment horizontal="right"/>
      <protection locked="0"/>
    </xf>
    <xf numFmtId="4" fontId="18" fillId="0" borderId="24" xfId="0" applyNumberFormat="1" applyFont="1" applyFill="1" applyBorder="1" applyAlignment="1" applyProtection="1">
      <alignment horizontal="right"/>
      <protection/>
    </xf>
    <xf numFmtId="4" fontId="18" fillId="0" borderId="41" xfId="0" applyNumberFormat="1" applyFont="1" applyFill="1" applyBorder="1" applyAlignment="1" applyProtection="1">
      <alignment horizontal="right"/>
      <protection/>
    </xf>
    <xf numFmtId="4" fontId="18" fillId="0" borderId="40" xfId="0" applyNumberFormat="1" applyFont="1" applyFill="1" applyBorder="1" applyAlignment="1" applyProtection="1">
      <alignment horizontal="right"/>
      <protection/>
    </xf>
    <xf numFmtId="169" fontId="18" fillId="0" borderId="42" xfId="0" applyNumberFormat="1" applyFont="1" applyFill="1" applyBorder="1" applyAlignment="1" applyProtection="1">
      <alignment horizontal="right"/>
      <protection/>
    </xf>
    <xf numFmtId="169" fontId="18" fillId="0" borderId="43" xfId="0" applyNumberFormat="1" applyFont="1" applyFill="1" applyBorder="1" applyAlignment="1" applyProtection="1">
      <alignment horizontal="right"/>
      <protection/>
    </xf>
    <xf numFmtId="169" fontId="18" fillId="0" borderId="44" xfId="0" applyNumberFormat="1" applyFont="1" applyFill="1" applyBorder="1" applyAlignment="1">
      <alignment horizontal="right"/>
    </xf>
    <xf numFmtId="169" fontId="18" fillId="0" borderId="45" xfId="0" applyNumberFormat="1" applyFont="1" applyFill="1" applyBorder="1" applyAlignment="1">
      <alignment horizontal="right"/>
    </xf>
    <xf numFmtId="169" fontId="18" fillId="0" borderId="46" xfId="0" applyNumberFormat="1" applyFont="1" applyFill="1" applyBorder="1" applyAlignment="1">
      <alignment horizontal="right"/>
    </xf>
    <xf numFmtId="0" fontId="12" fillId="0" borderId="24" xfId="0" applyFont="1" applyBorder="1" applyAlignment="1">
      <alignment horizontal="center"/>
    </xf>
    <xf numFmtId="0" fontId="0" fillId="0" borderId="15" xfId="0" applyBorder="1" applyAlignment="1">
      <alignment/>
    </xf>
    <xf numFmtId="177" fontId="0" fillId="0" borderId="24" xfId="48" applyNumberFormat="1" applyFont="1" applyBorder="1" applyAlignment="1">
      <alignment/>
    </xf>
    <xf numFmtId="177" fontId="12" fillId="0" borderId="24" xfId="48" applyNumberFormat="1" applyFont="1" applyBorder="1" applyAlignment="1">
      <alignment/>
    </xf>
    <xf numFmtId="0" fontId="0" fillId="0" borderId="20" xfId="0" applyFont="1" applyBorder="1" applyAlignment="1">
      <alignment/>
    </xf>
    <xf numFmtId="177" fontId="0" fillId="0" borderId="20" xfId="48" applyNumberFormat="1" applyFont="1" applyBorder="1" applyAlignment="1">
      <alignment/>
    </xf>
    <xf numFmtId="0" fontId="0" fillId="0" borderId="0" xfId="0" applyFont="1" applyAlignment="1">
      <alignment/>
    </xf>
    <xf numFmtId="4" fontId="17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21" xfId="0" applyFont="1" applyBorder="1" applyAlignment="1">
      <alignment/>
    </xf>
    <xf numFmtId="177" fontId="0" fillId="0" borderId="29" xfId="48" applyNumberFormat="1" applyFont="1" applyBorder="1" applyAlignment="1">
      <alignment/>
    </xf>
    <xf numFmtId="177" fontId="0" fillId="0" borderId="24" xfId="48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22" xfId="0" applyFont="1" applyBorder="1" applyAlignment="1">
      <alignment/>
    </xf>
    <xf numFmtId="177" fontId="12" fillId="0" borderId="26" xfId="48" applyNumberFormat="1" applyFont="1" applyBorder="1" applyAlignment="1">
      <alignment/>
    </xf>
    <xf numFmtId="177" fontId="12" fillId="16" borderId="26" xfId="48" applyNumberFormat="1" applyFont="1" applyFill="1" applyBorder="1" applyAlignment="1">
      <alignment/>
    </xf>
    <xf numFmtId="177" fontId="12" fillId="0" borderId="47" xfId="48" applyNumberFormat="1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37" fontId="14" fillId="0" borderId="36" xfId="0" applyNumberFormat="1" applyFont="1" applyFill="1" applyBorder="1" applyAlignment="1" applyProtection="1">
      <alignment horizontal="left"/>
      <protection/>
    </xf>
    <xf numFmtId="37" fontId="14" fillId="0" borderId="48" xfId="0" applyNumberFormat="1" applyFont="1" applyFill="1" applyBorder="1" applyAlignment="1" applyProtection="1">
      <alignment horizontal="left"/>
      <protection/>
    </xf>
    <xf numFmtId="10" fontId="14" fillId="0" borderId="48" xfId="0" applyNumberFormat="1" applyFont="1" applyFill="1" applyBorder="1" applyAlignment="1" applyProtection="1">
      <alignment horizontal="right"/>
      <protection/>
    </xf>
    <xf numFmtId="0" fontId="0" fillId="0" borderId="48" xfId="0" applyFill="1" applyBorder="1" applyAlignment="1">
      <alignment/>
    </xf>
    <xf numFmtId="10" fontId="14" fillId="0" borderId="28" xfId="0" applyNumberFormat="1" applyFont="1" applyFill="1" applyBorder="1" applyAlignment="1" applyProtection="1">
      <alignment horizontal="right"/>
      <protection/>
    </xf>
    <xf numFmtId="10" fontId="14" fillId="0" borderId="49" xfId="0" applyNumberFormat="1" applyFont="1" applyFill="1" applyBorder="1" applyAlignment="1" applyProtection="1">
      <alignment horizontal="right"/>
      <protection/>
    </xf>
    <xf numFmtId="0" fontId="0" fillId="0" borderId="49" xfId="0" applyFill="1" applyBorder="1" applyAlignment="1">
      <alignment/>
    </xf>
    <xf numFmtId="0" fontId="60" fillId="0" borderId="48" xfId="0" applyFont="1" applyFill="1" applyBorder="1" applyAlignment="1">
      <alignment/>
    </xf>
    <xf numFmtId="0" fontId="13" fillId="16" borderId="50" xfId="0" applyFont="1" applyFill="1" applyBorder="1" applyAlignment="1">
      <alignment horizontal="center" vertical="center" wrapText="1"/>
    </xf>
    <xf numFmtId="0" fontId="13" fillId="16" borderId="51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/>
    </xf>
    <xf numFmtId="0" fontId="13" fillId="16" borderId="52" xfId="0" applyFont="1" applyFill="1" applyBorder="1" applyAlignment="1">
      <alignment horizontal="center"/>
    </xf>
    <xf numFmtId="0" fontId="13" fillId="16" borderId="53" xfId="0" applyFont="1" applyFill="1" applyBorder="1" applyAlignment="1">
      <alignment horizontal="center"/>
    </xf>
    <xf numFmtId="0" fontId="13" fillId="16" borderId="54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left"/>
    </xf>
    <xf numFmtId="37" fontId="8" fillId="0" borderId="0" xfId="0" applyNumberFormat="1" applyFont="1" applyFill="1" applyBorder="1" applyAlignment="1" applyProtection="1" quotePrefix="1">
      <alignment horizontal="center"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1" fillId="0" borderId="0" xfId="0" applyNumberFormat="1" applyFont="1" applyFill="1" applyBorder="1" applyAlignment="1" applyProtection="1" quotePrefix="1">
      <alignment horizontal="center"/>
      <protection/>
    </xf>
    <xf numFmtId="37" fontId="14" fillId="0" borderId="56" xfId="0" applyNumberFormat="1" applyFont="1" applyFill="1" applyBorder="1" applyAlignment="1" applyProtection="1">
      <alignment horizontal="center" vertical="center"/>
      <protection/>
    </xf>
    <xf numFmtId="37" fontId="14" fillId="0" borderId="57" xfId="0" applyNumberFormat="1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37" fontId="8" fillId="0" borderId="0" xfId="0" applyNumberFormat="1" applyFont="1" applyFill="1" applyBorder="1" applyAlignment="1" applyProtection="1" quotePrefix="1">
      <alignment horizontal="center"/>
      <protection locked="0"/>
    </xf>
    <xf numFmtId="37" fontId="8" fillId="0" borderId="0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24" borderId="59" xfId="0" applyFont="1" applyFill="1" applyBorder="1" applyAlignment="1">
      <alignment horizontal="center" vertical="center" wrapText="1"/>
    </xf>
    <xf numFmtId="0" fontId="13" fillId="24" borderId="60" xfId="0" applyFont="1" applyFill="1" applyBorder="1" applyAlignment="1">
      <alignment horizontal="center" vertical="center" wrapText="1"/>
    </xf>
    <xf numFmtId="0" fontId="35" fillId="16" borderId="59" xfId="0" applyFont="1" applyFill="1" applyBorder="1" applyAlignment="1">
      <alignment horizontal="center" vertical="center" wrapText="1"/>
    </xf>
    <xf numFmtId="0" fontId="35" fillId="16" borderId="60" xfId="0" applyFont="1" applyFill="1" applyBorder="1" applyAlignment="1">
      <alignment horizontal="center" vertical="center" wrapText="1"/>
    </xf>
    <xf numFmtId="0" fontId="13" fillId="16" borderId="59" xfId="0" applyFont="1" applyFill="1" applyBorder="1" applyAlignment="1">
      <alignment horizontal="center" vertical="center" wrapText="1"/>
    </xf>
    <xf numFmtId="0" fontId="13" fillId="16" borderId="60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5" fillId="16" borderId="6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PORCENTEJE DE PARTICIPACION EMPRESAS ACTIVIDADES CONEXAS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A2FF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6B8EB2"/>
        </a:gs>
        <a:gs pos="100000">
          <a:srgbClr val="99CC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INGRESOS Vs EGRESOS AVIACION CIVIL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one"/>
        </c:ser>
        <c:shape val="cone"/>
        <c:axId val="47283583"/>
        <c:axId val="22899064"/>
      </c:bar3DChart>
      <c:catAx>
        <c:axId val="4728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9064"/>
        <c:crosses val="autoZero"/>
        <c:auto val="1"/>
        <c:lblOffset val="100"/>
        <c:tickLblSkip val="1"/>
        <c:noMultiLvlLbl val="0"/>
      </c:catAx>
      <c:valAx>
        <c:axId val="22899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3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9999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9999FF"/>
            </a:gs>
            <a:gs pos="100000">
              <a:srgbClr val="D7D7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D7D7FF"/>
            </a:gs>
            <a:gs pos="50000">
              <a:srgbClr val="9999FF"/>
            </a:gs>
            <a:gs pos="100000">
              <a:srgbClr val="D7D7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D7D7FF"/>
            </a:gs>
            <a:gs pos="50000">
              <a:srgbClr val="9999FF"/>
            </a:gs>
            <a:gs pos="100000">
              <a:srgbClr val="D7D7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A2A2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laid">
              <a:fgClr>
                <a:srgbClr val="008080"/>
              </a:fgClr>
              <a:bgClr>
                <a:srgbClr val="00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764985"/>
        <c:axId val="42884866"/>
      </c:bar3DChart>
      <c:catAx>
        <c:axId val="47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4866"/>
        <c:crosses val="autoZero"/>
        <c:auto val="1"/>
        <c:lblOffset val="100"/>
        <c:tickLblSkip val="1"/>
        <c:noMultiLvlLbl val="0"/>
      </c:catAx>
      <c:valAx>
        <c:axId val="42884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49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75">
              <a:fgClr>
                <a:srgbClr val="FF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0419475"/>
        <c:axId val="51122092"/>
      </c:bar3D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2092"/>
        <c:crosses val="autoZero"/>
        <c:auto val="1"/>
        <c:lblOffset val="100"/>
        <c:tickLblSkip val="1"/>
        <c:noMultiLvlLbl val="0"/>
      </c:catAx>
      <c:valAx>
        <c:axId val="51122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94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9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7445645"/>
        <c:axId val="47248758"/>
      </c:bar3DChart>
      <c:catAx>
        <c:axId val="5744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8758"/>
        <c:crosses val="autoZero"/>
        <c:auto val="1"/>
        <c:lblOffset val="100"/>
        <c:tickLblSkip val="1"/>
        <c:noMultiLvlLbl val="0"/>
      </c:catAx>
      <c:valAx>
        <c:axId val="47248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456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4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solidDmnd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2585639"/>
        <c:axId val="1944160"/>
      </c:bar3DChart>
      <c:catAx>
        <c:axId val="2258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160"/>
        <c:crosses val="autoZero"/>
        <c:auto val="1"/>
        <c:lblOffset val="100"/>
        <c:tickLblSkip val="1"/>
        <c:noMultiLvlLbl val="0"/>
      </c:catAx>
      <c:valAx>
        <c:axId val="1944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56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INGRESOS Vs EGRESOS ACTIVIDADES CONEXAS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one"/>
        </c:ser>
        <c:shape val="cone"/>
        <c:axId val="17497441"/>
        <c:axId val="23259242"/>
      </c:bar3DChart>
      <c:catAx>
        <c:axId val="1749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9242"/>
        <c:crosses val="autoZero"/>
        <c:auto val="1"/>
        <c:lblOffset val="100"/>
        <c:tickLblSkip val="1"/>
        <c:noMultiLvlLbl val="0"/>
      </c:catAx>
      <c:valAx>
        <c:axId val="23259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97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SITUACION FINANCIERA DE LAS EMPRESAS DE ACTIVIDADES CONEXAS AÑO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8006587"/>
        <c:axId val="4950420"/>
      </c:bar3DChart>
      <c:catAx>
        <c:axId val="80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420"/>
        <c:crosses val="autoZero"/>
        <c:auto val="1"/>
        <c:lblOffset val="100"/>
        <c:tickLblSkip val="1"/>
        <c:noMultiLvlLbl val="0"/>
      </c:catAx>
      <c:valAx>
        <c:axId val="4950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6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CUMPLIMIENTO EN EL ENVIO DE LA INFORMACION FINANCIERA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50000">
                  <a:srgbClr val="8B4646"/>
                </a:gs>
                <a:gs pos="100000">
                  <a:srgbClr val="FF8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1</c:v>
                </c:pt>
              </c:numCache>
            </c:numRef>
          </c:val>
        </c:ser>
        <c:axId val="60847043"/>
        <c:axId val="10752476"/>
      </c:barChart>
      <c:catAx>
        <c:axId val="60847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MODALIDAD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2476"/>
        <c:crosses val="autoZero"/>
        <c:auto val="1"/>
        <c:lblOffset val="100"/>
        <c:tickLblSkip val="1"/>
        <c:noMultiLvlLbl val="0"/>
      </c:catAx>
      <c:valAx>
        <c:axId val="10752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CUMPLIMIENTO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7043"/>
        <c:crossesAt val="1"/>
        <c:crossBetween val="between"/>
        <c:dispUnits/>
      </c:valAx>
      <c:spPr>
        <a:gradFill rotWithShape="1">
          <a:gsLst>
            <a:gs pos="0">
              <a:srgbClr val="993366"/>
            </a:gs>
            <a:gs pos="100000">
              <a:srgbClr val="EDDAE3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3366"/>
        </a:gs>
        <a:gs pos="100000">
          <a:srgbClr val="E6CDDA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PORCENTEJE DE PARTICIPACION EMPRESAS ACTIVIDADES CONEXAS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A2FF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CUMPLIMIENTO EN EL ENVIO DE LA INFORMACION FINANCIERA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50000">
                  <a:srgbClr val="8B4646"/>
                </a:gs>
                <a:gs pos="100000">
                  <a:srgbClr val="FF8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1'!#REF!</c:f>
              <c:numCache>
                <c:ptCount val="1"/>
                <c:pt idx="0">
                  <c:v>1</c:v>
                </c:pt>
              </c:numCache>
            </c:numRef>
          </c:val>
        </c:ser>
        <c:axId val="29663421"/>
        <c:axId val="65644198"/>
      </c:barChart>
      <c:catAx>
        <c:axId val="29663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ACTIVIDAD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44198"/>
        <c:crosses val="autoZero"/>
        <c:auto val="1"/>
        <c:lblOffset val="100"/>
        <c:tickLblSkip val="1"/>
        <c:noMultiLvlLbl val="0"/>
      </c:catAx>
      <c:valAx>
        <c:axId val="6564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CUMPLIMIENTO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3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CONTRIBUCION DE LOS INGRESOS DE LAS ACTIVIDADES CONEXAS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60076"/>
                  </a:gs>
                  <a:gs pos="100000">
                    <a:srgbClr val="FF00FF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horzBrick">
              <a:fgClr>
                <a:srgbClr val="9999FF"/>
              </a:fgClr>
              <a:bgClr>
                <a:srgbClr val="FF99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3926871"/>
        <c:axId val="15579792"/>
      </c:bar3DChart>
      <c:catAx>
        <c:axId val="5392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9792"/>
        <c:crosses val="autoZero"/>
        <c:auto val="1"/>
        <c:lblOffset val="100"/>
        <c:tickLblSkip val="1"/>
        <c:noMultiLvlLbl val="0"/>
      </c:catAx>
      <c:valAx>
        <c:axId val="15579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68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B3E0E0"/>
        </a:gs>
        <a:gs pos="100000">
          <a:srgbClr val="CC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75">
              <a:fgClr>
                <a:srgbClr val="FF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000401"/>
        <c:axId val="54003610"/>
      </c:bar3DChart>
      <c:catAx>
        <c:axId val="600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003610"/>
        <c:crosses val="autoZero"/>
        <c:auto val="1"/>
        <c:lblOffset val="100"/>
        <c:tickLblSkip val="1"/>
        <c:noMultiLvlLbl val="0"/>
      </c:catAx>
      <c:valAx>
        <c:axId val="54003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0401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96E5E5"/>
            </a:gs>
            <a:gs pos="100000">
              <a:srgbClr val="33CCCC"/>
            </a:gs>
          </a:gsLst>
          <a:lin ang="189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BBEEEE"/>
            </a:gs>
            <a:gs pos="100000">
              <a:srgbClr val="33CC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BBEEEE"/>
            </a:gs>
            <a:gs pos="100000">
              <a:srgbClr val="33CC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AFEBEB"/>
        </a:gs>
        <a:gs pos="100000">
          <a:srgbClr val="33CC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9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6270443"/>
        <c:axId val="12216260"/>
      </c:bar3DChart>
      <c:catAx>
        <c:axId val="16270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216260"/>
        <c:crosses val="autoZero"/>
        <c:auto val="1"/>
        <c:lblOffset val="100"/>
        <c:tickLblSkip val="1"/>
        <c:noMultiLvlLbl val="0"/>
      </c:catAx>
      <c:valAx>
        <c:axId val="12216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44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99CC"/>
            </a:gs>
            <a:gs pos="100000">
              <a:srgbClr val="FFC4E2"/>
            </a:gs>
          </a:gsLst>
          <a:path path="rect">
            <a:fillToRect t="100000" r="100000"/>
          </a:path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CC"/>
            </a:gs>
            <a:gs pos="100000">
              <a:srgbClr val="FFD1E8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CC"/>
            </a:gs>
            <a:gs pos="100000">
              <a:srgbClr val="FFD1E8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CC"/>
        </a:gs>
        <a:gs pos="100000">
          <a:srgbClr val="FFE0F0"/>
        </a:gs>
      </a:gsLst>
      <a:path path="rect">
        <a:fillToRect l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4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solidDmnd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2837477"/>
        <c:axId val="49992974"/>
      </c:bar3DChart>
      <c:catAx>
        <c:axId val="42837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2974"/>
        <c:crosses val="autoZero"/>
        <c:auto val="1"/>
        <c:lblOffset val="100"/>
        <c:tickLblSkip val="1"/>
        <c:noMultiLvlLbl val="0"/>
      </c:catAx>
      <c:valAx>
        <c:axId val="49992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37477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CC00"/>
            </a:gs>
            <a:gs pos="100000">
              <a:srgbClr val="FFEEAA"/>
            </a:gs>
          </a:gsLst>
          <a:path path="rect">
            <a:fillToRect l="100000" t="100000"/>
          </a:path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ECA2"/>
            </a:gs>
            <a:gs pos="50000">
              <a:srgbClr val="FFCC00"/>
            </a:gs>
            <a:gs pos="100000">
              <a:srgbClr val="FFECA2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ECA2"/>
            </a:gs>
            <a:gs pos="50000">
              <a:srgbClr val="FFCC00"/>
            </a:gs>
            <a:gs pos="100000">
              <a:srgbClr val="FFECA2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00"/>
        </a:gs>
        <a:gs pos="50000">
          <a:srgbClr val="FFF0B2"/>
        </a:gs>
        <a:gs pos="100000">
          <a:srgbClr val="FFCC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0</xdr:rowOff>
    </xdr:from>
    <xdr:to>
      <xdr:col>8</xdr:col>
      <xdr:colOff>742950</xdr:colOff>
      <xdr:row>1</xdr:row>
      <xdr:rowOff>0</xdr:rowOff>
    </xdr:to>
    <xdr:graphicFrame>
      <xdr:nvGraphicFramePr>
        <xdr:cNvPr id="1" name="Chart 3"/>
        <xdr:cNvGraphicFramePr/>
      </xdr:nvGraphicFramePr>
      <xdr:xfrm>
        <a:off x="3048000" y="161925"/>
        <a:ext cx="3810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1</xdr:row>
      <xdr:rowOff>0</xdr:rowOff>
    </xdr:from>
    <xdr:to>
      <xdr:col>7</xdr:col>
      <xdr:colOff>742950</xdr:colOff>
      <xdr:row>1</xdr:row>
      <xdr:rowOff>0</xdr:rowOff>
    </xdr:to>
    <xdr:graphicFrame>
      <xdr:nvGraphicFramePr>
        <xdr:cNvPr id="2" name="Chart 6"/>
        <xdr:cNvGraphicFramePr/>
      </xdr:nvGraphicFramePr>
      <xdr:xfrm>
        <a:off x="2305050" y="161925"/>
        <a:ext cx="3790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</xdr:row>
      <xdr:rowOff>0</xdr:rowOff>
    </xdr:from>
    <xdr:to>
      <xdr:col>7</xdr:col>
      <xdr:colOff>609600</xdr:colOff>
      <xdr:row>1</xdr:row>
      <xdr:rowOff>0</xdr:rowOff>
    </xdr:to>
    <xdr:graphicFrame>
      <xdr:nvGraphicFramePr>
        <xdr:cNvPr id="3" name="Chart 11"/>
        <xdr:cNvGraphicFramePr/>
      </xdr:nvGraphicFramePr>
      <xdr:xfrm>
        <a:off x="2143125" y="161925"/>
        <a:ext cx="3819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</xdr:row>
      <xdr:rowOff>0</xdr:rowOff>
    </xdr:from>
    <xdr:to>
      <xdr:col>8</xdr:col>
      <xdr:colOff>295275</xdr:colOff>
      <xdr:row>1</xdr:row>
      <xdr:rowOff>0</xdr:rowOff>
    </xdr:to>
    <xdr:graphicFrame>
      <xdr:nvGraphicFramePr>
        <xdr:cNvPr id="4" name="Chart 12"/>
        <xdr:cNvGraphicFramePr/>
      </xdr:nvGraphicFramePr>
      <xdr:xfrm>
        <a:off x="2143125" y="161925"/>
        <a:ext cx="4267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38</xdr:row>
      <xdr:rowOff>0</xdr:rowOff>
    </xdr:from>
    <xdr:to>
      <xdr:col>5</xdr:col>
      <xdr:colOff>0</xdr:colOff>
      <xdr:row>38</xdr:row>
      <xdr:rowOff>0</xdr:rowOff>
    </xdr:to>
    <xdr:graphicFrame>
      <xdr:nvGraphicFramePr>
        <xdr:cNvPr id="1" name="Chart 8"/>
        <xdr:cNvGraphicFramePr/>
      </xdr:nvGraphicFramePr>
      <xdr:xfrm>
        <a:off x="3705225" y="7143750"/>
        <a:ext cx="158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0</xdr:rowOff>
    </xdr:from>
    <xdr:to>
      <xdr:col>5</xdr:col>
      <xdr:colOff>0</xdr:colOff>
      <xdr:row>38</xdr:row>
      <xdr:rowOff>0</xdr:rowOff>
    </xdr:to>
    <xdr:graphicFrame>
      <xdr:nvGraphicFramePr>
        <xdr:cNvPr id="2" name="Chart 9"/>
        <xdr:cNvGraphicFramePr/>
      </xdr:nvGraphicFramePr>
      <xdr:xfrm>
        <a:off x="180975" y="7143750"/>
        <a:ext cx="5105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38</xdr:row>
      <xdr:rowOff>0</xdr:rowOff>
    </xdr:from>
    <xdr:to>
      <xdr:col>5</xdr:col>
      <xdr:colOff>38100</xdr:colOff>
      <xdr:row>38</xdr:row>
      <xdr:rowOff>0</xdr:rowOff>
    </xdr:to>
    <xdr:graphicFrame>
      <xdr:nvGraphicFramePr>
        <xdr:cNvPr id="3" name="Chart 10"/>
        <xdr:cNvGraphicFramePr/>
      </xdr:nvGraphicFramePr>
      <xdr:xfrm>
        <a:off x="5286375" y="7143750"/>
        <a:ext cx="38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38</xdr:row>
      <xdr:rowOff>0</xdr:rowOff>
    </xdr:from>
    <xdr:to>
      <xdr:col>5</xdr:col>
      <xdr:colOff>0</xdr:colOff>
      <xdr:row>38</xdr:row>
      <xdr:rowOff>0</xdr:rowOff>
    </xdr:to>
    <xdr:graphicFrame>
      <xdr:nvGraphicFramePr>
        <xdr:cNvPr id="4" name="Chart 11"/>
        <xdr:cNvGraphicFramePr/>
      </xdr:nvGraphicFramePr>
      <xdr:xfrm>
        <a:off x="171450" y="7143750"/>
        <a:ext cx="5114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graphicFrame>
      <xdr:nvGraphicFramePr>
        <xdr:cNvPr id="5" name="Chart 13"/>
        <xdr:cNvGraphicFramePr/>
      </xdr:nvGraphicFramePr>
      <xdr:xfrm>
        <a:off x="5286375" y="71437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304800</xdr:colOff>
      <xdr:row>38</xdr:row>
      <xdr:rowOff>0</xdr:rowOff>
    </xdr:from>
    <xdr:to>
      <xdr:col>5</xdr:col>
      <xdr:colOff>0</xdr:colOff>
      <xdr:row>38</xdr:row>
      <xdr:rowOff>0</xdr:rowOff>
    </xdr:to>
    <xdr:graphicFrame>
      <xdr:nvGraphicFramePr>
        <xdr:cNvPr id="6" name="Chart 14"/>
        <xdr:cNvGraphicFramePr/>
      </xdr:nvGraphicFramePr>
      <xdr:xfrm>
        <a:off x="304800" y="714375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3</xdr:col>
      <xdr:colOff>733425</xdr:colOff>
      <xdr:row>38</xdr:row>
      <xdr:rowOff>0</xdr:rowOff>
    </xdr:to>
    <xdr:graphicFrame>
      <xdr:nvGraphicFramePr>
        <xdr:cNvPr id="7" name="Chart 15"/>
        <xdr:cNvGraphicFramePr/>
      </xdr:nvGraphicFramePr>
      <xdr:xfrm>
        <a:off x="0" y="7143750"/>
        <a:ext cx="4419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graphicFrame>
      <xdr:nvGraphicFramePr>
        <xdr:cNvPr id="8" name="Chart 16"/>
        <xdr:cNvGraphicFramePr/>
      </xdr:nvGraphicFramePr>
      <xdr:xfrm>
        <a:off x="5286375" y="71437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3</xdr:col>
      <xdr:colOff>733425</xdr:colOff>
      <xdr:row>38</xdr:row>
      <xdr:rowOff>0</xdr:rowOff>
    </xdr:to>
    <xdr:graphicFrame>
      <xdr:nvGraphicFramePr>
        <xdr:cNvPr id="9" name="Chart 17"/>
        <xdr:cNvGraphicFramePr/>
      </xdr:nvGraphicFramePr>
      <xdr:xfrm>
        <a:off x="0" y="7143750"/>
        <a:ext cx="44196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graphicFrame>
      <xdr:nvGraphicFramePr>
        <xdr:cNvPr id="10" name="Chart 18"/>
        <xdr:cNvGraphicFramePr/>
      </xdr:nvGraphicFramePr>
      <xdr:xfrm>
        <a:off x="5286375" y="71437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638175</xdr:colOff>
      <xdr:row>38</xdr:row>
      <xdr:rowOff>0</xdr:rowOff>
    </xdr:from>
    <xdr:to>
      <xdr:col>5</xdr:col>
      <xdr:colOff>0</xdr:colOff>
      <xdr:row>38</xdr:row>
      <xdr:rowOff>0</xdr:rowOff>
    </xdr:to>
    <xdr:graphicFrame>
      <xdr:nvGraphicFramePr>
        <xdr:cNvPr id="11" name="Chart 19"/>
        <xdr:cNvGraphicFramePr/>
      </xdr:nvGraphicFramePr>
      <xdr:xfrm>
        <a:off x="638175" y="7143750"/>
        <a:ext cx="46482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5</xdr:col>
      <xdr:colOff>0</xdr:colOff>
      <xdr:row>38</xdr:row>
      <xdr:rowOff>0</xdr:rowOff>
    </xdr:to>
    <xdr:graphicFrame>
      <xdr:nvGraphicFramePr>
        <xdr:cNvPr id="12" name="Chart 20"/>
        <xdr:cNvGraphicFramePr/>
      </xdr:nvGraphicFramePr>
      <xdr:xfrm>
        <a:off x="0" y="7143750"/>
        <a:ext cx="52863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12"/>
  <sheetViews>
    <sheetView tabSelected="1" zoomScalePageLayoutView="0" workbookViewId="0" topLeftCell="A1">
      <selection activeCell="A18" sqref="A17:A18"/>
    </sheetView>
  </sheetViews>
  <sheetFormatPr defaultColWidth="11.421875" defaultRowHeight="12.75"/>
  <cols>
    <col min="1" max="1" width="26.7109375" style="0" customWidth="1"/>
    <col min="2" max="2" width="5.421875" style="0" customWidth="1"/>
    <col min="4" max="4" width="4.7109375" style="0" customWidth="1"/>
    <col min="5" max="5" width="7.7109375" style="0" customWidth="1"/>
    <col min="6" max="6" width="12.8515625" style="0" bestFit="1" customWidth="1"/>
    <col min="11" max="11" width="52.28125" style="0" customWidth="1"/>
  </cols>
  <sheetData>
    <row r="1" s="13" customFormat="1" ht="12.75">
      <c r="A1" s="15"/>
    </row>
    <row r="2" s="13" customFormat="1" ht="12.75">
      <c r="A2" s="15"/>
    </row>
    <row r="3" s="13" customFormat="1" ht="12.75">
      <c r="A3" s="17" t="s">
        <v>81</v>
      </c>
    </row>
    <row r="4" ht="12.75">
      <c r="A4" s="19" t="s">
        <v>98</v>
      </c>
    </row>
    <row r="5" ht="12.75">
      <c r="A5" s="17" t="s">
        <v>78</v>
      </c>
    </row>
    <row r="6" ht="13.5" thickBot="1">
      <c r="A6" s="17" t="s">
        <v>1</v>
      </c>
    </row>
    <row r="7" spans="1:6" ht="14.25" thickBot="1" thickTop="1">
      <c r="A7" s="171" t="s">
        <v>17</v>
      </c>
      <c r="B7" s="173" t="s">
        <v>18</v>
      </c>
      <c r="C7" s="173"/>
      <c r="D7" s="174" t="s">
        <v>79</v>
      </c>
      <c r="E7" s="175"/>
      <c r="F7" s="176"/>
    </row>
    <row r="8" spans="1:6" ht="14.25" thickBot="1" thickTop="1">
      <c r="A8" s="172"/>
      <c r="B8" s="14" t="s">
        <v>77</v>
      </c>
      <c r="C8" s="14" t="s">
        <v>80</v>
      </c>
      <c r="D8" s="14" t="s">
        <v>16</v>
      </c>
      <c r="E8" s="14" t="s">
        <v>80</v>
      </c>
      <c r="F8" s="14" t="s">
        <v>84</v>
      </c>
    </row>
    <row r="9" spans="1:6" ht="13.5" thickTop="1">
      <c r="A9" s="20" t="s">
        <v>89</v>
      </c>
      <c r="B9" s="61">
        <v>62</v>
      </c>
      <c r="C9" s="21">
        <f>+B9/B$11</f>
        <v>0.7560975609756098</v>
      </c>
      <c r="D9" s="61">
        <v>52</v>
      </c>
      <c r="E9" s="21">
        <f>+D9/D$11</f>
        <v>0.7536231884057971</v>
      </c>
      <c r="F9" s="21">
        <f>+D9/B11</f>
        <v>0.6341463414634146</v>
      </c>
    </row>
    <row r="10" spans="1:6" ht="13.5" thickBot="1">
      <c r="A10" s="28" t="s">
        <v>99</v>
      </c>
      <c r="B10" s="108">
        <v>20</v>
      </c>
      <c r="C10" s="21">
        <f>+B10/B$11</f>
        <v>0.24390243902439024</v>
      </c>
      <c r="D10" s="61">
        <v>17</v>
      </c>
      <c r="E10" s="29">
        <f>+D10/D$11</f>
        <v>0.2463768115942029</v>
      </c>
      <c r="F10" s="29">
        <f>+D10/B11</f>
        <v>0.2073170731707317</v>
      </c>
    </row>
    <row r="11" spans="1:6" ht="13.5" thickBot="1">
      <c r="A11" s="22" t="s">
        <v>19</v>
      </c>
      <c r="B11" s="22">
        <f>SUM(B9:B10)</f>
        <v>82</v>
      </c>
      <c r="C11" s="23">
        <f>+B11/B$11</f>
        <v>1</v>
      </c>
      <c r="D11" s="22">
        <f>SUM(D9:D10)</f>
        <v>69</v>
      </c>
      <c r="E11" s="23">
        <f>+D11/D$11</f>
        <v>1</v>
      </c>
      <c r="F11" s="23">
        <f>+D11/B11</f>
        <v>0.8414634146341463</v>
      </c>
    </row>
    <row r="12" ht="12.75">
      <c r="A12" s="17" t="s">
        <v>156</v>
      </c>
    </row>
  </sheetData>
  <sheetProtection/>
  <mergeCells count="3">
    <mergeCell ref="A7:A8"/>
    <mergeCell ref="B7:C7"/>
    <mergeCell ref="D7:F7"/>
  </mergeCells>
  <printOptions/>
  <pageMargins left="1.5748031496062993" right="0.7874015748031497" top="1.5748031496062993" bottom="0.7874015748031497" header="0" footer="0"/>
  <pageSetup horizontalDpi="600" verticalDpi="600" orientation="landscape" r:id="rId4"/>
  <drawing r:id="rId3"/>
  <legacyDrawing r:id="rId2"/>
  <oleObjects>
    <oleObject progId="MSPhotoEd.3" shapeId="47052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A61"/>
  <sheetViews>
    <sheetView zoomScalePageLayoutView="0" workbookViewId="0" topLeftCell="A24">
      <selection activeCell="A40" sqref="A40"/>
    </sheetView>
  </sheetViews>
  <sheetFormatPr defaultColWidth="11.421875" defaultRowHeight="12.75"/>
  <cols>
    <col min="1" max="1" width="31.28125" style="1" customWidth="1"/>
    <col min="2" max="2" width="12.00390625" style="1" bestFit="1" customWidth="1"/>
    <col min="3" max="3" width="12.00390625" style="1" customWidth="1"/>
    <col min="4" max="4" width="12.00390625" style="1" bestFit="1" customWidth="1"/>
    <col min="5" max="5" width="12.00390625" style="1" customWidth="1"/>
    <col min="6" max="6" width="18.57421875" style="1" customWidth="1"/>
    <col min="7" max="16384" width="11.421875" style="1" customWidth="1"/>
  </cols>
  <sheetData>
    <row r="1" spans="1:60" ht="12.75">
      <c r="A1" s="30" t="s">
        <v>82</v>
      </c>
      <c r="B1" s="31"/>
      <c r="C1" s="31"/>
      <c r="D1" s="31"/>
      <c r="E1" s="31"/>
      <c r="G1" s="32"/>
      <c r="H1" s="32"/>
      <c r="I1" s="32"/>
      <c r="J1" s="32"/>
      <c r="BG1" s="33"/>
      <c r="BH1" s="33"/>
    </row>
    <row r="2" spans="1:60" ht="12.75">
      <c r="A2" s="34" t="s">
        <v>98</v>
      </c>
      <c r="B2" s="31"/>
      <c r="C2" s="31"/>
      <c r="D2" s="35"/>
      <c r="E2" s="35"/>
      <c r="G2" s="32"/>
      <c r="H2" s="32"/>
      <c r="I2" s="32"/>
      <c r="J2" s="32"/>
      <c r="BG2" s="33"/>
      <c r="BH2" s="33"/>
    </row>
    <row r="3" spans="1:60" ht="12.75">
      <c r="A3" s="30" t="s">
        <v>75</v>
      </c>
      <c r="B3" s="31"/>
      <c r="C3" s="31"/>
      <c r="D3" s="31"/>
      <c r="E3" s="31"/>
      <c r="G3" s="32"/>
      <c r="H3" s="32"/>
      <c r="I3" s="32"/>
      <c r="J3" s="32"/>
      <c r="BG3" s="33"/>
      <c r="BH3" s="33"/>
    </row>
    <row r="4" spans="1:60" ht="12.75">
      <c r="A4" s="30" t="s">
        <v>157</v>
      </c>
      <c r="B4" s="31"/>
      <c r="C4" s="127"/>
      <c r="D4" s="127"/>
      <c r="E4" s="31"/>
      <c r="G4" s="32"/>
      <c r="H4" s="32"/>
      <c r="I4" s="32"/>
      <c r="J4" s="32"/>
      <c r="BG4" s="33"/>
      <c r="BH4" s="33"/>
    </row>
    <row r="5" spans="1:60" ht="13.5" thickBot="1">
      <c r="A5" s="30" t="s">
        <v>74</v>
      </c>
      <c r="B5" s="31"/>
      <c r="C5" s="31"/>
      <c r="D5" s="31"/>
      <c r="E5" s="31"/>
      <c r="G5" s="32"/>
      <c r="H5" s="32"/>
      <c r="I5" s="32"/>
      <c r="J5" s="32"/>
      <c r="BG5" s="33"/>
      <c r="BH5" s="33"/>
    </row>
    <row r="6" spans="1:79" s="36" customFormat="1" ht="23.25" customHeight="1" thickBot="1">
      <c r="A6" s="182" t="s">
        <v>68</v>
      </c>
      <c r="B6" s="188" t="s">
        <v>19</v>
      </c>
      <c r="C6" s="189"/>
      <c r="D6" s="188" t="s">
        <v>89</v>
      </c>
      <c r="E6" s="189"/>
      <c r="F6" s="188" t="s">
        <v>99</v>
      </c>
      <c r="G6" s="190"/>
      <c r="H6" s="89"/>
      <c r="I6" s="184"/>
      <c r="J6" s="184"/>
      <c r="K6" s="180"/>
      <c r="L6" s="180"/>
      <c r="M6" s="184"/>
      <c r="N6" s="184"/>
      <c r="O6" s="186"/>
      <c r="P6" s="186"/>
      <c r="Q6" s="180"/>
      <c r="R6" s="180"/>
      <c r="S6" s="179"/>
      <c r="T6" s="179"/>
      <c r="U6" s="181"/>
      <c r="V6" s="181"/>
      <c r="W6" s="179"/>
      <c r="X6" s="179"/>
      <c r="Y6" s="178"/>
      <c r="Z6" s="178"/>
      <c r="AA6" s="179"/>
      <c r="AB6" s="179"/>
      <c r="AC6" s="179"/>
      <c r="AD6" s="179"/>
      <c r="AE6" s="179"/>
      <c r="AF6" s="179"/>
      <c r="AG6" s="180"/>
      <c r="AH6" s="180"/>
      <c r="AI6" s="180"/>
      <c r="AJ6" s="180"/>
      <c r="AK6" s="180"/>
      <c r="AL6" s="180"/>
      <c r="AM6" s="180"/>
      <c r="AN6" s="180"/>
      <c r="AO6" s="178"/>
      <c r="AP6" s="178"/>
      <c r="AQ6" s="179"/>
      <c r="AR6" s="179"/>
      <c r="AS6" s="178"/>
      <c r="AT6" s="178"/>
      <c r="AU6" s="187"/>
      <c r="AV6" s="187"/>
      <c r="AW6" s="179"/>
      <c r="AX6" s="179"/>
      <c r="AY6" s="179"/>
      <c r="AZ6" s="179"/>
      <c r="BA6" s="185"/>
      <c r="BB6" s="185"/>
      <c r="BC6" s="185"/>
      <c r="BD6" s="185"/>
      <c r="BE6" s="181"/>
      <c r="BF6" s="181"/>
      <c r="BG6" s="180"/>
      <c r="BH6" s="180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1"/>
    </row>
    <row r="7" spans="1:79" s="36" customFormat="1" ht="13.5" thickBot="1">
      <c r="A7" s="183"/>
      <c r="B7" s="37">
        <v>2008</v>
      </c>
      <c r="C7" s="37">
        <v>2009</v>
      </c>
      <c r="D7" s="37">
        <v>2008</v>
      </c>
      <c r="E7" s="37">
        <v>2009</v>
      </c>
      <c r="F7" s="37">
        <v>2008</v>
      </c>
      <c r="G7" s="90">
        <v>2009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11"/>
    </row>
    <row r="8" spans="1:79" s="36" customFormat="1" ht="15" customHeight="1">
      <c r="A8" s="38" t="s">
        <v>21</v>
      </c>
      <c r="B8" s="39"/>
      <c r="C8" s="39"/>
      <c r="D8" s="39"/>
      <c r="E8" s="40"/>
      <c r="F8" s="40"/>
      <c r="G8" s="9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11"/>
    </row>
    <row r="9" spans="1:79" s="36" customFormat="1" ht="15" customHeight="1">
      <c r="A9" s="41" t="s">
        <v>22</v>
      </c>
      <c r="B9" s="42"/>
      <c r="C9" s="42"/>
      <c r="D9" s="42"/>
      <c r="E9" s="42"/>
      <c r="F9" s="42"/>
      <c r="G9" s="9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11"/>
    </row>
    <row r="10" spans="1:79" ht="15" customHeight="1">
      <c r="A10" s="43" t="s">
        <v>23</v>
      </c>
      <c r="B10" s="44">
        <f aca="true" t="shared" si="0" ref="B10:C12">+D10+F10</f>
        <v>87590752.56853</v>
      </c>
      <c r="C10" s="44">
        <f t="shared" si="0"/>
        <v>108032882.33400002</v>
      </c>
      <c r="D10" s="44">
        <f>+TALLERES!B10</f>
        <v>60320154.11546</v>
      </c>
      <c r="E10" s="44">
        <f>+TALLERES!C10</f>
        <v>70400455.01300003</v>
      </c>
      <c r="F10" s="44">
        <f>'SERV AEROPORTUARIOS'!B10</f>
        <v>27270598.45307</v>
      </c>
      <c r="G10" s="44">
        <f>'SERV AEROPORTUARIOS'!C10</f>
        <v>37632427.320999995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2"/>
    </row>
    <row r="11" spans="1:79" ht="15" customHeight="1">
      <c r="A11" s="43" t="s">
        <v>24</v>
      </c>
      <c r="B11" s="44">
        <f t="shared" si="0"/>
        <v>26217651.95351</v>
      </c>
      <c r="C11" s="44">
        <f t="shared" si="0"/>
        <v>34677772.039000005</v>
      </c>
      <c r="D11" s="44">
        <f>+TALLERES!B11</f>
        <v>17017505.0417</v>
      </c>
      <c r="E11" s="44">
        <f>+TALLERES!C11</f>
        <v>23204820.474</v>
      </c>
      <c r="F11" s="44">
        <f>'SERV AEROPORTUARIOS'!B11</f>
        <v>9200146.91181</v>
      </c>
      <c r="G11" s="44">
        <f>'SERV AEROPORTUARIOS'!C11</f>
        <v>11472951.565000001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2"/>
    </row>
    <row r="12" spans="1:79" ht="15" customHeight="1">
      <c r="A12" s="43" t="s">
        <v>25</v>
      </c>
      <c r="B12" s="44">
        <f t="shared" si="0"/>
        <v>14054153.599999998</v>
      </c>
      <c r="C12" s="44">
        <f t="shared" si="0"/>
        <v>14521821.600999998</v>
      </c>
      <c r="D12" s="44">
        <f>+TALLERES!B12</f>
        <v>10564852.856999999</v>
      </c>
      <c r="E12" s="44">
        <f>+TALLERES!C12</f>
        <v>10982331.747999998</v>
      </c>
      <c r="F12" s="44">
        <f>'SERV AEROPORTUARIOS'!B12</f>
        <v>3489300.7429999993</v>
      </c>
      <c r="G12" s="44">
        <f>'SERV AEROPORTUARIOS'!C12</f>
        <v>3539489.853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2"/>
    </row>
    <row r="13" spans="1:79" s="46" customFormat="1" ht="15" customHeight="1">
      <c r="A13" s="41" t="s">
        <v>26</v>
      </c>
      <c r="B13" s="45">
        <f aca="true" t="shared" si="1" ref="B13:G13">SUM(B10:B12)</f>
        <v>127862558.12203999</v>
      </c>
      <c r="C13" s="45">
        <f t="shared" si="1"/>
        <v>157232475.97400004</v>
      </c>
      <c r="D13" s="45">
        <f t="shared" si="1"/>
        <v>87902512.01415999</v>
      </c>
      <c r="E13" s="45">
        <f t="shared" si="1"/>
        <v>104587607.23500001</v>
      </c>
      <c r="F13" s="45">
        <f t="shared" si="1"/>
        <v>39960046.10788</v>
      </c>
      <c r="G13" s="45">
        <f t="shared" si="1"/>
        <v>52644868.73899999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12"/>
    </row>
    <row r="14" spans="1:79" ht="15" customHeight="1">
      <c r="A14" s="41" t="s">
        <v>27</v>
      </c>
      <c r="B14" s="44"/>
      <c r="C14" s="44"/>
      <c r="D14" s="44"/>
      <c r="E14" s="44"/>
      <c r="F14" s="44"/>
      <c r="G14" s="4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2"/>
    </row>
    <row r="15" spans="1:79" ht="15" customHeight="1">
      <c r="A15" s="43" t="s">
        <v>28</v>
      </c>
      <c r="B15" s="44">
        <f aca="true" t="shared" si="2" ref="B15:C17">+D15+F15</f>
        <v>60431779.57170001</v>
      </c>
      <c r="C15" s="44">
        <f t="shared" si="2"/>
        <v>74291782.086</v>
      </c>
      <c r="D15" s="44">
        <f>+TALLERES!B15</f>
        <v>41232312.106180005</v>
      </c>
      <c r="E15" s="44">
        <f>+TALLERES!C15</f>
        <v>47047352.79599999</v>
      </c>
      <c r="F15" s="44">
        <f>'SERV AEROPORTUARIOS'!B15</f>
        <v>19199467.465520002</v>
      </c>
      <c r="G15" s="44">
        <f>'SERV AEROPORTUARIOS'!C15</f>
        <v>27244429.29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2"/>
    </row>
    <row r="16" spans="1:79" ht="15" customHeight="1">
      <c r="A16" s="47" t="s">
        <v>29</v>
      </c>
      <c r="B16" s="44">
        <f t="shared" si="2"/>
        <v>12227845.216519998</v>
      </c>
      <c r="C16" s="44">
        <f t="shared" si="2"/>
        <v>13050540.870000001</v>
      </c>
      <c r="D16" s="44">
        <f>+TALLERES!B16</f>
        <v>9465149.510519998</v>
      </c>
      <c r="E16" s="44">
        <f>+TALLERES!C16</f>
        <v>9777702.492</v>
      </c>
      <c r="F16" s="44">
        <f>'SERV AEROPORTUARIOS'!B16</f>
        <v>2762695.7060000002</v>
      </c>
      <c r="G16" s="44">
        <f>'SERV AEROPORTUARIOS'!C16</f>
        <v>3272838.378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2"/>
    </row>
    <row r="17" spans="1:79" ht="15" customHeight="1">
      <c r="A17" s="43" t="s">
        <v>30</v>
      </c>
      <c r="B17" s="44">
        <f t="shared" si="2"/>
        <v>72424.57800000001</v>
      </c>
      <c r="C17" s="44">
        <f t="shared" si="2"/>
        <v>49467</v>
      </c>
      <c r="D17" s="44">
        <f>+TALLERES!B17</f>
        <v>32578.578</v>
      </c>
      <c r="E17" s="44">
        <f>+TALLERES!C17</f>
        <v>49467</v>
      </c>
      <c r="F17" s="44">
        <f>'SERV AEROPORTUARIOS'!B17</f>
        <v>39846</v>
      </c>
      <c r="G17" s="44">
        <f>'SERV AEROPORTUARIOS'!C17</f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2"/>
    </row>
    <row r="18" spans="1:79" s="46" customFormat="1" ht="15" customHeight="1">
      <c r="A18" s="41" t="s">
        <v>31</v>
      </c>
      <c r="B18" s="126">
        <f aca="true" t="shared" si="3" ref="B18:G18">SUM(B15:B17)</f>
        <v>72732049.36622</v>
      </c>
      <c r="C18" s="45">
        <f t="shared" si="3"/>
        <v>87391789.956</v>
      </c>
      <c r="D18" s="45">
        <f t="shared" si="3"/>
        <v>50730040.1947</v>
      </c>
      <c r="E18" s="45">
        <f t="shared" si="3"/>
        <v>56874522.28799999</v>
      </c>
      <c r="F18" s="45">
        <f t="shared" si="3"/>
        <v>22002009.171520002</v>
      </c>
      <c r="G18" s="45">
        <f t="shared" si="3"/>
        <v>30517267.667999998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12"/>
    </row>
    <row r="19" spans="1:79" ht="15" customHeight="1">
      <c r="A19" s="41" t="s">
        <v>32</v>
      </c>
      <c r="B19" s="44"/>
      <c r="C19" s="44"/>
      <c r="D19" s="44"/>
      <c r="E19" s="44"/>
      <c r="F19" s="44"/>
      <c r="G19" s="44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2"/>
    </row>
    <row r="20" spans="1:79" ht="15" customHeight="1">
      <c r="A20" s="43" t="s">
        <v>33</v>
      </c>
      <c r="B20" s="44">
        <f aca="true" t="shared" si="4" ref="B20:C23">+D20+F20</f>
        <v>20445203.75</v>
      </c>
      <c r="C20" s="44">
        <f t="shared" si="4"/>
        <v>17695894.319</v>
      </c>
      <c r="D20" s="44">
        <f>+TALLERES!B20</f>
        <v>12385228.75</v>
      </c>
      <c r="E20" s="44">
        <f>+TALLERES!C20</f>
        <v>14609394.319</v>
      </c>
      <c r="F20" s="44">
        <f>'SERV AEROPORTUARIOS'!B20</f>
        <v>8059975</v>
      </c>
      <c r="G20" s="44">
        <f>'SERV AEROPORTUARIOS'!C20</f>
        <v>3086500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2"/>
    </row>
    <row r="21" spans="1:79" ht="15" customHeight="1">
      <c r="A21" s="43" t="s">
        <v>34</v>
      </c>
      <c r="B21" s="44">
        <f t="shared" si="4"/>
        <v>2928553.62185</v>
      </c>
      <c r="C21" s="44">
        <f t="shared" si="4"/>
        <v>11364570.024000002</v>
      </c>
      <c r="D21" s="44">
        <f>+TALLERES!B21</f>
        <v>-50651.83116000003</v>
      </c>
      <c r="E21" s="44">
        <f>+TALLERES!C21</f>
        <v>4080844.0700000008</v>
      </c>
      <c r="F21" s="44">
        <f>'SERV AEROPORTUARIOS'!B21</f>
        <v>2979205.4530100003</v>
      </c>
      <c r="G21" s="44">
        <f>'SERV AEROPORTUARIOS'!C21</f>
        <v>7283725.954000001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2"/>
    </row>
    <row r="22" spans="1:79" ht="15" customHeight="1">
      <c r="A22" s="43" t="s">
        <v>35</v>
      </c>
      <c r="B22" s="44">
        <f t="shared" si="4"/>
        <v>-3111903.0629500016</v>
      </c>
      <c r="C22" s="44">
        <f t="shared" si="4"/>
        <v>5413028.323999999</v>
      </c>
      <c r="D22" s="44">
        <f>+TALLERES!B22</f>
        <v>2275831.682989999</v>
      </c>
      <c r="E22" s="44">
        <f>+TALLERES!C22</f>
        <v>2860945.131999999</v>
      </c>
      <c r="F22" s="44">
        <f>'SERV AEROPORTUARIOS'!B22</f>
        <v>-5387734.745940001</v>
      </c>
      <c r="G22" s="44">
        <f>'SERV AEROPORTUARIOS'!C22</f>
        <v>2552083.192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2"/>
    </row>
    <row r="23" spans="1:79" ht="15" customHeight="1">
      <c r="A23" s="43" t="s">
        <v>36</v>
      </c>
      <c r="B23" s="44">
        <f t="shared" si="4"/>
        <v>33514135.39395</v>
      </c>
      <c r="C23" s="44">
        <f t="shared" si="4"/>
        <v>35367194.311</v>
      </c>
      <c r="D23" s="44">
        <f>+TALLERES!B23</f>
        <v>22549086.15762</v>
      </c>
      <c r="E23" s="44">
        <f>+TALLERES!C23</f>
        <v>26161902.255</v>
      </c>
      <c r="F23" s="44">
        <f>'SERV AEROPORTUARIOS'!B23</f>
        <v>10965049.236329999</v>
      </c>
      <c r="G23" s="44">
        <f>'SERV AEROPORTUARIOS'!C23</f>
        <v>9205292.056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2"/>
    </row>
    <row r="24" spans="1:79" s="46" customFormat="1" ht="15" customHeight="1">
      <c r="A24" s="41" t="s">
        <v>37</v>
      </c>
      <c r="B24" s="45">
        <f aca="true" t="shared" si="5" ref="B24:G24">SUM(B20:B23)</f>
        <v>53775989.70285</v>
      </c>
      <c r="C24" s="45">
        <f t="shared" si="5"/>
        <v>69840686.978</v>
      </c>
      <c r="D24" s="45">
        <f t="shared" si="5"/>
        <v>37159494.75945</v>
      </c>
      <c r="E24" s="45">
        <f t="shared" si="5"/>
        <v>47713085.776</v>
      </c>
      <c r="F24" s="45">
        <f t="shared" si="5"/>
        <v>16616494.9434</v>
      </c>
      <c r="G24" s="45">
        <f t="shared" si="5"/>
        <v>22127601.202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12"/>
    </row>
    <row r="25" spans="1:79" s="46" customFormat="1" ht="15" customHeight="1">
      <c r="A25" s="41" t="s">
        <v>38</v>
      </c>
      <c r="B25" s="45">
        <f aca="true" t="shared" si="6" ref="B25:G25">+B24+B18</f>
        <v>126508039.06907</v>
      </c>
      <c r="C25" s="45">
        <f t="shared" si="6"/>
        <v>157232476.93400002</v>
      </c>
      <c r="D25" s="45">
        <f t="shared" si="6"/>
        <v>87889534.95415</v>
      </c>
      <c r="E25" s="45">
        <f t="shared" si="6"/>
        <v>104587608.06399998</v>
      </c>
      <c r="F25" s="45">
        <f t="shared" si="6"/>
        <v>38618504.114920005</v>
      </c>
      <c r="G25" s="45">
        <f t="shared" si="6"/>
        <v>52644868.87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12"/>
    </row>
    <row r="26" spans="1:79" ht="15" customHeight="1">
      <c r="A26" s="41" t="s">
        <v>39</v>
      </c>
      <c r="B26" s="44"/>
      <c r="C26" s="44"/>
      <c r="D26" s="44"/>
      <c r="E26" s="44"/>
      <c r="F26" s="44"/>
      <c r="G26" s="44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2"/>
    </row>
    <row r="27" spans="1:79" ht="15" customHeight="1">
      <c r="A27" s="41" t="s">
        <v>40</v>
      </c>
      <c r="B27" s="44"/>
      <c r="C27" s="44"/>
      <c r="D27" s="44"/>
      <c r="E27" s="44"/>
      <c r="F27" s="44"/>
      <c r="G27" s="44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2"/>
    </row>
    <row r="28" spans="1:79" ht="15" customHeight="1">
      <c r="A28" s="47" t="s">
        <v>41</v>
      </c>
      <c r="B28" s="44">
        <f>+D28+F28</f>
        <v>122049888.73234999</v>
      </c>
      <c r="C28" s="44">
        <f>+E28+G28</f>
        <v>172657931.23000002</v>
      </c>
      <c r="D28" s="44">
        <f>+TALLERES!B28</f>
        <v>40882661.02106</v>
      </c>
      <c r="E28" s="44">
        <f>+TALLERES!C28</f>
        <v>75553975.335</v>
      </c>
      <c r="F28" s="44">
        <f>'SERV AEROPORTUARIOS'!B28</f>
        <v>81167227.71128999</v>
      </c>
      <c r="G28" s="44">
        <f>'SERV AEROPORTUARIOS'!C28</f>
        <v>97103955.89500001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2"/>
    </row>
    <row r="29" spans="1:79" ht="15" customHeight="1">
      <c r="A29" s="47" t="s">
        <v>42</v>
      </c>
      <c r="B29" s="44">
        <f>+D29+F29</f>
        <v>10603274.18617</v>
      </c>
      <c r="C29" s="44">
        <f>+E29+G29</f>
        <v>13223263.348000001</v>
      </c>
      <c r="D29" s="44">
        <f>+TALLERES!B29</f>
        <v>5683499.03115</v>
      </c>
      <c r="E29" s="44">
        <f>+TALLERES!C29</f>
        <v>7563703.841</v>
      </c>
      <c r="F29" s="44">
        <f>'SERV AEROPORTUARIOS'!B29</f>
        <v>4919775.15502</v>
      </c>
      <c r="G29" s="44">
        <f>'SERV AEROPORTUARIOS'!C29</f>
        <v>5659559.507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2"/>
    </row>
    <row r="30" spans="1:79" s="46" customFormat="1" ht="15" customHeight="1">
      <c r="A30" s="41" t="s">
        <v>43</v>
      </c>
      <c r="B30" s="45">
        <f aca="true" t="shared" si="7" ref="B30:G30">SUM(B28:B29)</f>
        <v>132653162.91851999</v>
      </c>
      <c r="C30" s="45">
        <f t="shared" si="7"/>
        <v>185881194.578</v>
      </c>
      <c r="D30" s="45">
        <f t="shared" si="7"/>
        <v>46566160.052209996</v>
      </c>
      <c r="E30" s="45">
        <f t="shared" si="7"/>
        <v>83117679.176</v>
      </c>
      <c r="F30" s="45">
        <f t="shared" si="7"/>
        <v>86087002.86630999</v>
      </c>
      <c r="G30" s="45">
        <f t="shared" si="7"/>
        <v>102763515.40200001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12"/>
    </row>
    <row r="31" spans="1:79" ht="15" customHeight="1">
      <c r="A31" s="41" t="s">
        <v>47</v>
      </c>
      <c r="B31" s="44"/>
      <c r="C31" s="44"/>
      <c r="D31" s="44"/>
      <c r="E31" s="44"/>
      <c r="F31" s="44"/>
      <c r="G31" s="44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2"/>
    </row>
    <row r="32" spans="1:79" ht="15" customHeight="1">
      <c r="A32" s="43" t="s">
        <v>73</v>
      </c>
      <c r="B32" s="44">
        <f aca="true" t="shared" si="8" ref="B32:C34">+D32+F32</f>
        <v>119199639.58654001</v>
      </c>
      <c r="C32" s="44">
        <f t="shared" si="8"/>
        <v>159856722.228</v>
      </c>
      <c r="D32" s="44">
        <f>+TALLERES!B32</f>
        <v>40358311.63732001</v>
      </c>
      <c r="E32" s="44">
        <f>+TALLERES!C32</f>
        <v>70090203.02599998</v>
      </c>
      <c r="F32" s="44">
        <f>'SERV AEROPORTUARIOS'!B32</f>
        <v>78841327.94922</v>
      </c>
      <c r="G32" s="44">
        <f>'SERV AEROPORTUARIOS'!C32</f>
        <v>89766519.202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2"/>
    </row>
    <row r="33" spans="1:79" ht="15" customHeight="1">
      <c r="A33" s="43" t="s">
        <v>48</v>
      </c>
      <c r="B33" s="44">
        <f t="shared" si="8"/>
        <v>7384775.0888</v>
      </c>
      <c r="C33" s="44">
        <f t="shared" si="8"/>
        <v>9839797.466000002</v>
      </c>
      <c r="D33" s="44">
        <f>+TALLERES!B33</f>
        <v>5842606.10172</v>
      </c>
      <c r="E33" s="44">
        <f>+TALLERES!C33</f>
        <v>7674397.221000001</v>
      </c>
      <c r="F33" s="44">
        <f>'SERV AEROPORTUARIOS'!B33</f>
        <v>1542168.9870799999</v>
      </c>
      <c r="G33" s="44">
        <f>'SERV AEROPORTUARIOS'!C33</f>
        <v>2165400.245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2"/>
    </row>
    <row r="34" spans="1:79" ht="15" customHeight="1">
      <c r="A34" s="43" t="s">
        <v>49</v>
      </c>
      <c r="B34" s="44">
        <f t="shared" si="8"/>
        <v>3140194.542</v>
      </c>
      <c r="C34" s="44">
        <f t="shared" si="8"/>
        <v>4874614.428</v>
      </c>
      <c r="D34" s="44">
        <f>+TALLERES!B34</f>
        <v>415894.36600000004</v>
      </c>
      <c r="E34" s="44">
        <f>+TALLERES!C34</f>
        <v>1326744.5420000001</v>
      </c>
      <c r="F34" s="44">
        <f>'SERV AEROPORTUARIOS'!B34</f>
        <v>2724300.176</v>
      </c>
      <c r="G34" s="44">
        <f>'SERV AEROPORTUARIOS'!C34</f>
        <v>3547869.886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2"/>
    </row>
    <row r="35" spans="1:79" s="46" customFormat="1" ht="15" customHeight="1">
      <c r="A35" s="41" t="s">
        <v>50</v>
      </c>
      <c r="B35" s="45">
        <f aca="true" t="shared" si="9" ref="B35:G35">SUM(B32:B34)</f>
        <v>129724609.21734</v>
      </c>
      <c r="C35" s="45">
        <f t="shared" si="9"/>
        <v>174571134.12199998</v>
      </c>
      <c r="D35" s="45">
        <f t="shared" si="9"/>
        <v>46616812.10504001</v>
      </c>
      <c r="E35" s="45">
        <f t="shared" si="9"/>
        <v>79091344.78899997</v>
      </c>
      <c r="F35" s="45">
        <f t="shared" si="9"/>
        <v>83107797.1123</v>
      </c>
      <c r="G35" s="45">
        <f t="shared" si="9"/>
        <v>95479789.333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12"/>
    </row>
    <row r="36" spans="1:79" s="32" customFormat="1" ht="15" customHeight="1">
      <c r="A36" s="48" t="s">
        <v>51</v>
      </c>
      <c r="B36" s="45">
        <f aca="true" t="shared" si="10" ref="B36:G36">+B28-B32</f>
        <v>2850249.1458099782</v>
      </c>
      <c r="C36" s="45">
        <f t="shared" si="10"/>
        <v>12801209.002000034</v>
      </c>
      <c r="D36" s="45">
        <f t="shared" si="10"/>
        <v>524349.3837399855</v>
      </c>
      <c r="E36" s="45">
        <f t="shared" si="10"/>
        <v>5463772.309000015</v>
      </c>
      <c r="F36" s="45">
        <f t="shared" si="10"/>
        <v>2325899.7620699853</v>
      </c>
      <c r="G36" s="45">
        <f t="shared" si="10"/>
        <v>7337436.693000004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10"/>
    </row>
    <row r="37" spans="1:79" s="32" customFormat="1" ht="15" customHeight="1" thickBot="1">
      <c r="A37" s="49" t="s">
        <v>52</v>
      </c>
      <c r="B37" s="50">
        <f aca="true" t="shared" si="11" ref="B37:G37">+B30-B35</f>
        <v>2928553.701179981</v>
      </c>
      <c r="C37" s="50">
        <f t="shared" si="11"/>
        <v>11310060.45600003</v>
      </c>
      <c r="D37" s="50">
        <f t="shared" si="11"/>
        <v>-50652.05283001065</v>
      </c>
      <c r="E37" s="50">
        <f t="shared" si="11"/>
        <v>4026334.3870000243</v>
      </c>
      <c r="F37" s="50">
        <f t="shared" si="11"/>
        <v>2979205.754009992</v>
      </c>
      <c r="G37" s="50">
        <f t="shared" si="11"/>
        <v>7283726.069000006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10"/>
    </row>
    <row r="38" spans="1:5" s="31" customFormat="1" ht="11.25">
      <c r="A38" s="177" t="s">
        <v>153</v>
      </c>
      <c r="B38" s="177"/>
      <c r="C38" s="177"/>
      <c r="D38" s="177"/>
      <c r="E38" s="88"/>
    </row>
    <row r="40" spans="1:7" ht="15.75" thickBot="1">
      <c r="A40" s="170" t="s">
        <v>76</v>
      </c>
      <c r="B40" s="15"/>
      <c r="C40" s="15"/>
      <c r="D40" s="27"/>
      <c r="E40" s="27"/>
      <c r="F40" s="27"/>
      <c r="G40" s="2"/>
    </row>
    <row r="41" spans="1:7" ht="13.5" thickBot="1">
      <c r="A41" s="24" t="s">
        <v>53</v>
      </c>
      <c r="B41" s="163"/>
      <c r="C41" s="164"/>
      <c r="D41" s="165"/>
      <c r="E41" s="165"/>
      <c r="F41" s="165"/>
      <c r="G41" s="166"/>
    </row>
    <row r="42" spans="1:7" ht="13.5" thickBot="1">
      <c r="A42" s="99" t="s">
        <v>72</v>
      </c>
      <c r="B42" s="103">
        <v>1.5792167538066029</v>
      </c>
      <c r="C42" s="103">
        <f>'Cuadro 2'!C10/'Cuadro 2'!C15</f>
        <v>1.4541700212405917</v>
      </c>
      <c r="D42" s="103">
        <f>'Cuadro 2'!D10/'Cuadro 2'!D15</f>
        <v>1.4629340687984136</v>
      </c>
      <c r="E42" s="103">
        <f>'Cuadro 2'!E10/'Cuadro 2'!E15</f>
        <v>1.4963744149061993</v>
      </c>
      <c r="F42" s="103">
        <f>'Cuadro 2'!F10/'Cuadro 2'!F15</f>
        <v>1.4203830654180802</v>
      </c>
      <c r="G42" s="134">
        <f>'Cuadro 2'!G10/'Cuadro 2'!G15</f>
        <v>1.3812888836989838</v>
      </c>
    </row>
    <row r="43" spans="1:7" ht="13.5" thickBot="1">
      <c r="A43" s="24" t="s">
        <v>54</v>
      </c>
      <c r="B43" s="105"/>
      <c r="C43" s="105"/>
      <c r="D43" s="105"/>
      <c r="E43" s="105"/>
      <c r="F43" s="105"/>
      <c r="G43" s="105"/>
    </row>
    <row r="44" spans="1:7" ht="12.75">
      <c r="A44" s="95" t="s">
        <v>20</v>
      </c>
      <c r="B44" s="104">
        <f>'Cuadro 2'!B15/'Cuadro 2'!B18</f>
        <v>0.8308823977640759</v>
      </c>
      <c r="C44" s="104">
        <f>'Cuadro 2'!C15/'Cuadro 2'!C18</f>
        <v>0.8501002453823684</v>
      </c>
      <c r="D44" s="104">
        <f>'Cuadro 2'!D15/'Cuadro 2'!D18</f>
        <v>0.8127790151147511</v>
      </c>
      <c r="E44" s="104">
        <f>'Cuadro 2'!E15/'Cuadro 2'!E18</f>
        <v>0.8272131510443747</v>
      </c>
      <c r="F44" s="104">
        <f>'Cuadro 2'!F15/'Cuadro 2'!F18</f>
        <v>0.8726233734313825</v>
      </c>
      <c r="G44" s="135">
        <f>'Cuadro 2'!G15/'Cuadro 2'!G18</f>
        <v>0.8927545410157459</v>
      </c>
    </row>
    <row r="45" spans="1:7" ht="12.75">
      <c r="A45" s="96" t="s">
        <v>55</v>
      </c>
      <c r="B45" s="52">
        <f>'Cuadro 2'!B18/'Cuadro 2'!B24</f>
        <v>1.3525004331508448</v>
      </c>
      <c r="C45" s="52">
        <f>'Cuadro 2'!C18/'Cuadro 2'!C24</f>
        <v>1.2513019807999404</v>
      </c>
      <c r="D45" s="52">
        <f>'Cuadro 2'!D18/'Cuadro 2'!D24</f>
        <v>1.365197253705902</v>
      </c>
      <c r="E45" s="52">
        <f>'Cuadro 2'!E18/'Cuadro 2'!E24</f>
        <v>1.1920109832135035</v>
      </c>
      <c r="F45" s="52">
        <f>'Cuadro 2'!F18/'Cuadro 2'!F24</f>
        <v>1.3241065126228144</v>
      </c>
      <c r="G45" s="136">
        <f>'Cuadro 2'!G18/'Cuadro 2'!G24</f>
        <v>1.3791493885582906</v>
      </c>
    </row>
    <row r="46" spans="1:7" ht="12.75">
      <c r="A46" s="97" t="s">
        <v>56</v>
      </c>
      <c r="B46" s="52">
        <f>'Cuadro 2'!B16/'Cuadro 2'!B24</f>
        <v>0.2273848474772367</v>
      </c>
      <c r="C46" s="52">
        <f>'Cuadro 2'!C16/'Cuadro 2'!C24</f>
        <v>0.18686157646345827</v>
      </c>
      <c r="D46" s="52">
        <f>'Cuadro 2'!D16/'Cuadro 2'!D24</f>
        <v>0.2547168515554944</v>
      </c>
      <c r="E46" s="52">
        <f>'Cuadro 2'!E16/'Cuadro 2'!E24</f>
        <v>0.20492706210417122</v>
      </c>
      <c r="F46" s="52">
        <f>'Cuadro 2'!F16/'Cuadro 2'!F24</f>
        <v>0.1662622421521773</v>
      </c>
      <c r="G46" s="136">
        <f>'Cuadro 2'!G16/'Cuadro 2'!G24</f>
        <v>0.1479075091837874</v>
      </c>
    </row>
    <row r="47" spans="1:7" ht="13.5" thickBot="1">
      <c r="A47" s="98" t="s">
        <v>57</v>
      </c>
      <c r="B47" s="106">
        <f>'Cuadro 2'!B18/'Cuadro 2'!B13</f>
        <v>0.5688299251513489</v>
      </c>
      <c r="C47" s="106">
        <f>'Cuadro 2'!C18/'Cuadro 2'!C13</f>
        <v>0.5558125916076722</v>
      </c>
      <c r="D47" s="106">
        <f>'Cuadro 2'!D18/'Cuadro 2'!D13</f>
        <v>0.5771170701757423</v>
      </c>
      <c r="E47" s="106">
        <f>'Cuadro 2'!E18/'Cuadro 2'!E13</f>
        <v>0.5437979105899944</v>
      </c>
      <c r="F47" s="106">
        <f>'Cuadro 2'!F18/'Cuadro 2'!F13</f>
        <v>0.550600194807615</v>
      </c>
      <c r="G47" s="137">
        <f>'Cuadro 2'!G18/'Cuadro 2'!G13</f>
        <v>0.5796817125577219</v>
      </c>
    </row>
    <row r="48" spans="1:7" ht="13.5" thickBot="1">
      <c r="A48" s="24" t="s">
        <v>58</v>
      </c>
      <c r="B48" s="105"/>
      <c r="C48" s="105"/>
      <c r="D48" s="105"/>
      <c r="E48" s="105"/>
      <c r="F48" s="105"/>
      <c r="G48" s="105"/>
    </row>
    <row r="49" spans="1:7" ht="12.75">
      <c r="A49" s="95" t="s">
        <v>70</v>
      </c>
      <c r="B49" s="102">
        <f>'Cuadro 2'!B13/'Cuadro 2'!B18</f>
        <v>1.7579947112204575</v>
      </c>
      <c r="C49" s="102">
        <f>'Cuadro 2'!C13/'Cuadro 2'!C18</f>
        <v>1.7991675883188045</v>
      </c>
      <c r="D49" s="102">
        <f>'Cuadro 2'!D13/'Cuadro 2'!D18</f>
        <v>1.7327506873007281</v>
      </c>
      <c r="E49" s="102">
        <f>'Cuadro 2'!E13/'Cuadro 2'!E18</f>
        <v>1.8389184300378214</v>
      </c>
      <c r="F49" s="102">
        <f>'Cuadro 2'!F13/'Cuadro 2'!F18</f>
        <v>1.816199865947032</v>
      </c>
      <c r="G49" s="138">
        <f>'Cuadro 2'!G13/'Cuadro 2'!G18</f>
        <v>1.7250846082201095</v>
      </c>
    </row>
    <row r="50" spans="1:7" ht="13.5" thickBot="1">
      <c r="A50" s="98" t="s">
        <v>69</v>
      </c>
      <c r="B50" s="106">
        <f>'Cuadro 2'!B13/'Cuadro 2'!B15</f>
        <v>2.115816529452619</v>
      </c>
      <c r="C50" s="106">
        <f>'Cuadro 2'!C13/'Cuadro 2'!C15</f>
        <v>2.1164181496142884</v>
      </c>
      <c r="D50" s="106">
        <f>'Cuadro 2'!D13/'Cuadro 2'!D15</f>
        <v>2.1318841346513997</v>
      </c>
      <c r="E50" s="106">
        <f>'Cuadro 2'!E13/'Cuadro 2'!E15</f>
        <v>2.223028523804471</v>
      </c>
      <c r="F50" s="106">
        <f>'Cuadro 2'!F13/'Cuadro 2'!F15</f>
        <v>2.0813101290253786</v>
      </c>
      <c r="G50" s="137">
        <f>'Cuadro 2'!G13/'Cuadro 2'!G15</f>
        <v>1.932316811581117</v>
      </c>
    </row>
    <row r="51" spans="1:7" ht="13.5" thickBot="1">
      <c r="A51" s="24" t="s">
        <v>60</v>
      </c>
      <c r="B51" s="105"/>
      <c r="C51" s="105"/>
      <c r="D51" s="105"/>
      <c r="E51" s="105"/>
      <c r="F51" s="105"/>
      <c r="G51" s="105"/>
    </row>
    <row r="52" spans="1:7" ht="12.75">
      <c r="A52" s="95" t="s">
        <v>61</v>
      </c>
      <c r="B52" s="102">
        <f>'Cuadro 2'!B11/'Cuadro 2'!B16</f>
        <v>2.144094195606072</v>
      </c>
      <c r="C52" s="102">
        <f>'Cuadro 2'!C11/'Cuadro 2'!C16</f>
        <v>2.6571904095343446</v>
      </c>
      <c r="D52" s="102">
        <f>'Cuadro 2'!D11/'Cuadro 2'!D16</f>
        <v>1.7979119107189983</v>
      </c>
      <c r="E52" s="102">
        <f>'Cuadro 2'!E11/'Cuadro 2'!E16</f>
        <v>2.373238548931705</v>
      </c>
      <c r="F52" s="102">
        <f>'Cuadro 2'!F11/'Cuadro 2'!F16</f>
        <v>3.3301340034768194</v>
      </c>
      <c r="G52" s="138">
        <f>'Cuadro 2'!G11/'Cuadro 2'!G16</f>
        <v>3.505505081497795</v>
      </c>
    </row>
    <row r="53" spans="1:7" ht="13.5" thickBot="1">
      <c r="A53" s="98" t="s">
        <v>59</v>
      </c>
      <c r="B53" s="52">
        <f>'Cuadro 2'!B13/'Cuadro 2'!B18</f>
        <v>1.7579947112204575</v>
      </c>
      <c r="C53" s="52">
        <f>'Cuadro 2'!C13/'Cuadro 2'!C18</f>
        <v>1.7991675883188045</v>
      </c>
      <c r="D53" s="52">
        <f>'Cuadro 2'!D13/'Cuadro 2'!D18</f>
        <v>1.7327506873007281</v>
      </c>
      <c r="E53" s="52">
        <f>'Cuadro 2'!E13/'Cuadro 2'!E18</f>
        <v>1.8389184300378214</v>
      </c>
      <c r="F53" s="52">
        <f>'Cuadro 2'!F13/'Cuadro 2'!F18</f>
        <v>1.816199865947032</v>
      </c>
      <c r="G53" s="136">
        <f>'Cuadro 2'!G13/'Cuadro 2'!G18</f>
        <v>1.7250846082201095</v>
      </c>
    </row>
    <row r="54" spans="1:7" ht="13.5" thickBot="1">
      <c r="A54" s="24" t="s">
        <v>62</v>
      </c>
      <c r="B54" s="105"/>
      <c r="C54" s="105"/>
      <c r="D54" s="105"/>
      <c r="E54" s="105"/>
      <c r="F54" s="105"/>
      <c r="G54" s="105"/>
    </row>
    <row r="55" spans="1:7" ht="13.5" thickBot="1">
      <c r="A55" s="100" t="s">
        <v>67</v>
      </c>
      <c r="B55" s="52">
        <f>'Cuadro 2'!B24/'Cuadro 2'!B13</f>
        <v>0.42057651976212496</v>
      </c>
      <c r="C55" s="52">
        <f>'Cuadro 2'!C24/'Cuadro 2'!C13</f>
        <v>0.44418741449793653</v>
      </c>
      <c r="D55" s="52">
        <f>'Cuadro 2'!D24/'Cuadro 2'!D13</f>
        <v>0.42273529968590745</v>
      </c>
      <c r="E55" s="52">
        <f>'Cuadro 2'!E24/'Cuadro 2'!E13</f>
        <v>0.4562020973363747</v>
      </c>
      <c r="F55" s="52">
        <f>'Cuadro 2'!F24/'Cuadro 2'!F13</f>
        <v>0.415827721983616</v>
      </c>
      <c r="G55" s="136">
        <f>'Cuadro 2'!G24/'Cuadro 2'!G13</f>
        <v>0.4203182899306498</v>
      </c>
    </row>
    <row r="56" spans="1:7" ht="13.5" thickBot="1">
      <c r="A56" s="24" t="s">
        <v>63</v>
      </c>
      <c r="B56" s="105"/>
      <c r="C56" s="105"/>
      <c r="D56" s="105"/>
      <c r="E56" s="105"/>
      <c r="F56" s="105"/>
      <c r="G56" s="105"/>
    </row>
    <row r="57" spans="1:7" ht="12.75">
      <c r="A57" s="95" t="s">
        <v>71</v>
      </c>
      <c r="B57" s="52">
        <f>'Cuadro 2'!B36/'Cuadro 2'!B28</f>
        <v>0.02335314825284641</v>
      </c>
      <c r="C57" s="52">
        <f>'Cuadro 2'!C36/'Cuadro 2'!C28</f>
        <v>0.07414202701726667</v>
      </c>
      <c r="D57" s="52">
        <f>'Cuadro 2'!D36/'Cuadro 2'!D28</f>
        <v>0.012825715612539897</v>
      </c>
      <c r="E57" s="52">
        <f>'Cuadro 2'!E36/'Cuadro 2'!E28</f>
        <v>0.0723161459707991</v>
      </c>
      <c r="F57" s="52">
        <f>'Cuadro 2'!F36/'Cuadro 2'!F28</f>
        <v>0.028655651149539794</v>
      </c>
      <c r="G57" s="136">
        <f>'Cuadro 2'!G36/'Cuadro 2'!G28</f>
        <v>0.07556269593109148</v>
      </c>
    </row>
    <row r="58" spans="1:7" ht="13.5" thickBot="1">
      <c r="A58" s="98" t="s">
        <v>64</v>
      </c>
      <c r="B58" s="106">
        <f>'Cuadro 2'!B37/'Cuadro 2'!B30</f>
        <v>0.02207677251524562</v>
      </c>
      <c r="C58" s="106">
        <f>'Cuadro 2'!C37/'Cuadro 2'!C30</f>
        <v>0.06084564111865587</v>
      </c>
      <c r="D58" s="106">
        <f>'Cuadro 2'!D37/'Cuadro 2'!D30</f>
        <v>-0.0010877438202595952</v>
      </c>
      <c r="E58" s="106">
        <f>'Cuadro 2'!E37/'Cuadro 2'!E30</f>
        <v>0.04844137164217907</v>
      </c>
      <c r="F58" s="106">
        <f>'Cuadro 2'!F37/'Cuadro 2'!F30</f>
        <v>0.03460691689588254</v>
      </c>
      <c r="G58" s="137">
        <f>'Cuadro 2'!G37/'Cuadro 2'!G30</f>
        <v>0.07087852182271927</v>
      </c>
    </row>
    <row r="59" spans="1:7" ht="13.5" thickBot="1">
      <c r="A59" s="24" t="s">
        <v>65</v>
      </c>
      <c r="B59" s="141"/>
      <c r="C59" s="142"/>
      <c r="D59" s="142"/>
      <c r="E59" s="142"/>
      <c r="F59" s="142"/>
      <c r="G59" s="143"/>
    </row>
    <row r="60" spans="1:7" ht="13.5" thickBot="1">
      <c r="A60" s="101" t="s">
        <v>66</v>
      </c>
      <c r="B60" s="139">
        <f>'Cuadro 2'!B10-'Cuadro 2'!B15</f>
        <v>27158972.996829987</v>
      </c>
      <c r="C60" s="139">
        <f>'Cuadro 2'!C10-'Cuadro 2'!C15</f>
        <v>33741100.248000026</v>
      </c>
      <c r="D60" s="139">
        <f>'Cuadro 2'!D10-'Cuadro 2'!D15</f>
        <v>19087842.009279996</v>
      </c>
      <c r="E60" s="139">
        <f>'Cuadro 2'!E10-'Cuadro 2'!E15</f>
        <v>23353102.217000037</v>
      </c>
      <c r="F60" s="139">
        <f>'Cuadro 2'!F10-'Cuadro 2'!F15</f>
        <v>8071130.987549998</v>
      </c>
      <c r="G60" s="140">
        <f>'Cuadro 2'!G10-'Cuadro 2'!G15</f>
        <v>10387998.030999996</v>
      </c>
    </row>
    <row r="61" spans="1:6" ht="12.75">
      <c r="A61" s="51" t="s">
        <v>83</v>
      </c>
      <c r="B61" s="51"/>
      <c r="C61" s="51"/>
      <c r="D61" s="25"/>
      <c r="E61" s="25"/>
      <c r="F61" s="26"/>
    </row>
  </sheetData>
  <sheetProtection/>
  <mergeCells count="40">
    <mergeCell ref="AG6:AH6"/>
    <mergeCell ref="AI6:AJ6"/>
    <mergeCell ref="AE6:AF6"/>
    <mergeCell ref="B6:C6"/>
    <mergeCell ref="D6:E6"/>
    <mergeCell ref="F6:G6"/>
    <mergeCell ref="M6:N6"/>
    <mergeCell ref="K6:L6"/>
    <mergeCell ref="BK6:BL6"/>
    <mergeCell ref="BI6:BJ6"/>
    <mergeCell ref="BA6:BB6"/>
    <mergeCell ref="BC6:BD6"/>
    <mergeCell ref="BE6:BF6"/>
    <mergeCell ref="BG6:BH6"/>
    <mergeCell ref="AY6:AZ6"/>
    <mergeCell ref="AK6:AL6"/>
    <mergeCell ref="O6:P6"/>
    <mergeCell ref="BW6:BX6"/>
    <mergeCell ref="AW6:AX6"/>
    <mergeCell ref="AM6:AN6"/>
    <mergeCell ref="AQ6:AR6"/>
    <mergeCell ref="AS6:AT6"/>
    <mergeCell ref="AU6:AV6"/>
    <mergeCell ref="AO6:AP6"/>
    <mergeCell ref="BY6:BZ6"/>
    <mergeCell ref="BM6:BN6"/>
    <mergeCell ref="BO6:BP6"/>
    <mergeCell ref="BQ6:BR6"/>
    <mergeCell ref="BS6:BT6"/>
    <mergeCell ref="BU6:BV6"/>
    <mergeCell ref="A38:D38"/>
    <mergeCell ref="Y6:Z6"/>
    <mergeCell ref="AA6:AB6"/>
    <mergeCell ref="AC6:AD6"/>
    <mergeCell ref="Q6:R6"/>
    <mergeCell ref="S6:T6"/>
    <mergeCell ref="U6:V6"/>
    <mergeCell ref="W6:X6"/>
    <mergeCell ref="A6:A7"/>
    <mergeCell ref="I6:J6"/>
  </mergeCells>
  <printOptions/>
  <pageMargins left="1.5748031496062993" right="0.7874015748031497" top="0.9055118110236221" bottom="0.3937007874015748" header="0.15748031496062992" footer="0"/>
  <pageSetup fitToHeight="8" fitToWidth="2" horizontalDpi="600" verticalDpi="600" orientation="landscape" paperSize="9" scale="85" r:id="rId4"/>
  <drawing r:id="rId3"/>
  <legacyDrawing r:id="rId2"/>
  <oleObjects>
    <oleObject progId="MSPhotoEd.3" shapeId="51582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52"/>
  </sheetPr>
  <dimension ref="A1:EF61"/>
  <sheetViews>
    <sheetView zoomScalePageLayoutView="0" workbookViewId="0" topLeftCell="A23">
      <selection activeCell="A40" sqref="A40"/>
    </sheetView>
  </sheetViews>
  <sheetFormatPr defaultColWidth="11.421875" defaultRowHeight="12.75"/>
  <cols>
    <col min="1" max="1" width="35.140625" style="0" customWidth="1"/>
    <col min="2" max="2" width="12.28125" style="0" bestFit="1" customWidth="1"/>
    <col min="3" max="3" width="12.28125" style="0" customWidth="1"/>
    <col min="4" max="5" width="10.28125" style="0" bestFit="1" customWidth="1"/>
    <col min="6" max="6" width="9.00390625" style="0" customWidth="1"/>
    <col min="7" max="7" width="11.8515625" style="0" customWidth="1"/>
    <col min="8" max="8" width="14.00390625" style="0" bestFit="1" customWidth="1"/>
    <col min="9" max="9" width="14.00390625" style="0" customWidth="1"/>
    <col min="10" max="10" width="12.8515625" style="0" bestFit="1" customWidth="1"/>
    <col min="11" max="11" width="12.8515625" style="0" customWidth="1"/>
    <col min="12" max="12" width="18.00390625" style="0" bestFit="1" customWidth="1"/>
    <col min="13" max="13" width="18.00390625" style="0" customWidth="1"/>
    <col min="14" max="14" width="14.140625" style="0" customWidth="1"/>
    <col min="15" max="15" width="16.00390625" style="0" customWidth="1"/>
    <col min="18" max="18" width="11.8515625" style="0" customWidth="1"/>
    <col min="21" max="21" width="10.140625" style="0" customWidth="1"/>
    <col min="22" max="22" width="15.57421875" style="0" customWidth="1"/>
    <col min="23" max="23" width="16.57421875" style="0" customWidth="1"/>
    <col min="26" max="26" width="17.140625" style="0" customWidth="1"/>
    <col min="27" max="27" width="12.28125" style="0" customWidth="1"/>
    <col min="28" max="28" width="19.7109375" style="0" customWidth="1"/>
    <col min="29" max="29" width="10.421875" style="0" customWidth="1"/>
    <col min="30" max="30" width="15.00390625" style="0" customWidth="1"/>
    <col min="31" max="31" width="12.57421875" style="0" customWidth="1"/>
    <col min="32" max="32" width="18.421875" style="0" bestFit="1" customWidth="1"/>
    <col min="33" max="33" width="18.421875" style="0" customWidth="1"/>
    <col min="34" max="34" width="12.00390625" style="0" bestFit="1" customWidth="1"/>
    <col min="35" max="35" width="12.00390625" style="0" customWidth="1"/>
    <col min="36" max="36" width="13.00390625" style="0" bestFit="1" customWidth="1"/>
    <col min="37" max="37" width="13.00390625" style="0" customWidth="1"/>
    <col min="44" max="44" width="15.00390625" style="0" customWidth="1"/>
    <col min="45" max="45" width="22.8515625" style="0" customWidth="1"/>
    <col min="64" max="64" width="13.8515625" style="0" bestFit="1" customWidth="1"/>
    <col min="76" max="76" width="13.421875" style="0" bestFit="1" customWidth="1"/>
  </cols>
  <sheetData>
    <row r="1" ht="12.75">
      <c r="A1" s="16" t="s">
        <v>92</v>
      </c>
    </row>
    <row r="2" ht="12.75">
      <c r="A2" s="19" t="s">
        <v>98</v>
      </c>
    </row>
    <row r="3" ht="12.75">
      <c r="A3" s="16" t="s">
        <v>75</v>
      </c>
    </row>
    <row r="4" ht="12.75">
      <c r="A4" s="16" t="s">
        <v>158</v>
      </c>
    </row>
    <row r="5" spans="1:111" ht="13.5" thickBot="1">
      <c r="A5" s="16" t="s">
        <v>74</v>
      </c>
      <c r="E5">
        <v>1</v>
      </c>
      <c r="G5">
        <v>2</v>
      </c>
      <c r="I5">
        <v>3</v>
      </c>
      <c r="K5">
        <v>4</v>
      </c>
      <c r="M5">
        <v>5</v>
      </c>
      <c r="O5">
        <v>6</v>
      </c>
      <c r="Q5">
        <v>7</v>
      </c>
      <c r="S5">
        <v>8</v>
      </c>
      <c r="U5">
        <v>9</v>
      </c>
      <c r="W5">
        <v>10</v>
      </c>
      <c r="Y5">
        <v>11</v>
      </c>
      <c r="AA5">
        <v>12</v>
      </c>
      <c r="AC5">
        <v>13</v>
      </c>
      <c r="AE5">
        <v>14</v>
      </c>
      <c r="AG5">
        <v>15</v>
      </c>
      <c r="AI5">
        <v>16</v>
      </c>
      <c r="AK5">
        <v>17</v>
      </c>
      <c r="AM5">
        <v>18</v>
      </c>
      <c r="AO5">
        <v>19</v>
      </c>
      <c r="AQ5">
        <v>20</v>
      </c>
      <c r="AS5">
        <v>21</v>
      </c>
      <c r="AU5">
        <v>22</v>
      </c>
      <c r="AW5">
        <v>23</v>
      </c>
      <c r="AY5">
        <v>24</v>
      </c>
      <c r="BA5">
        <v>25</v>
      </c>
      <c r="BC5">
        <v>26</v>
      </c>
      <c r="BE5">
        <v>27</v>
      </c>
      <c r="BG5">
        <v>28</v>
      </c>
      <c r="BI5">
        <v>29</v>
      </c>
      <c r="BK5">
        <v>30</v>
      </c>
      <c r="BM5">
        <v>31</v>
      </c>
      <c r="BO5">
        <v>32</v>
      </c>
      <c r="BQ5">
        <v>33</v>
      </c>
      <c r="BS5">
        <v>34</v>
      </c>
      <c r="BU5">
        <v>35</v>
      </c>
      <c r="BW5">
        <v>36</v>
      </c>
      <c r="BY5">
        <v>37</v>
      </c>
      <c r="CA5">
        <v>38</v>
      </c>
      <c r="CC5">
        <v>39</v>
      </c>
      <c r="CE5">
        <v>40</v>
      </c>
      <c r="CG5">
        <v>41</v>
      </c>
      <c r="CI5">
        <v>42</v>
      </c>
      <c r="CK5">
        <v>43</v>
      </c>
      <c r="CM5">
        <v>44</v>
      </c>
      <c r="CO5">
        <v>45</v>
      </c>
      <c r="CQ5">
        <v>46</v>
      </c>
      <c r="CS5">
        <v>47</v>
      </c>
      <c r="CU5">
        <v>48</v>
      </c>
      <c r="CW5">
        <v>49</v>
      </c>
      <c r="CY5">
        <v>50</v>
      </c>
      <c r="DA5">
        <v>51</v>
      </c>
      <c r="DC5">
        <v>52</v>
      </c>
      <c r="DE5">
        <v>53</v>
      </c>
      <c r="DG5">
        <v>54</v>
      </c>
    </row>
    <row r="6" spans="1:115" s="31" customFormat="1" ht="42" customHeight="1">
      <c r="A6" s="84" t="s">
        <v>68</v>
      </c>
      <c r="B6" s="197" t="s">
        <v>19</v>
      </c>
      <c r="C6" s="198"/>
      <c r="D6" s="195" t="s">
        <v>111</v>
      </c>
      <c r="E6" s="196"/>
      <c r="F6" s="195" t="s">
        <v>96</v>
      </c>
      <c r="G6" s="196"/>
      <c r="H6" s="195" t="s">
        <v>134</v>
      </c>
      <c r="I6" s="196"/>
      <c r="J6" s="195" t="s">
        <v>135</v>
      </c>
      <c r="K6" s="196"/>
      <c r="L6" s="195" t="s">
        <v>136</v>
      </c>
      <c r="M6" s="196"/>
      <c r="N6" s="195" t="s">
        <v>85</v>
      </c>
      <c r="O6" s="196"/>
      <c r="P6" s="195" t="s">
        <v>137</v>
      </c>
      <c r="Q6" s="196"/>
      <c r="R6" s="195" t="s">
        <v>109</v>
      </c>
      <c r="S6" s="196"/>
      <c r="T6" s="195" t="s">
        <v>10</v>
      </c>
      <c r="U6" s="196"/>
      <c r="V6" s="195" t="s">
        <v>138</v>
      </c>
      <c r="W6" s="196"/>
      <c r="X6" s="195" t="s">
        <v>139</v>
      </c>
      <c r="Y6" s="196"/>
      <c r="Z6" s="195" t="s">
        <v>122</v>
      </c>
      <c r="AA6" s="196"/>
      <c r="AB6" s="195" t="s">
        <v>12</v>
      </c>
      <c r="AC6" s="196"/>
      <c r="AD6" s="195" t="s">
        <v>119</v>
      </c>
      <c r="AE6" s="196"/>
      <c r="AF6" s="195" t="s">
        <v>113</v>
      </c>
      <c r="AG6" s="196"/>
      <c r="AH6" s="195" t="s">
        <v>107</v>
      </c>
      <c r="AI6" s="196"/>
      <c r="AJ6" s="191" t="s">
        <v>88</v>
      </c>
      <c r="AK6" s="192"/>
      <c r="AL6" s="193" t="s">
        <v>140</v>
      </c>
      <c r="AM6" s="194"/>
      <c r="AN6" s="195" t="s">
        <v>90</v>
      </c>
      <c r="AO6" s="196"/>
      <c r="AP6" s="195" t="s">
        <v>4</v>
      </c>
      <c r="AQ6" s="196"/>
      <c r="AR6" s="195" t="s">
        <v>125</v>
      </c>
      <c r="AS6" s="196"/>
      <c r="AT6" s="195" t="s">
        <v>112</v>
      </c>
      <c r="AU6" s="196"/>
      <c r="AV6" s="191" t="s">
        <v>95</v>
      </c>
      <c r="AW6" s="192"/>
      <c r="AX6" s="193" t="s">
        <v>141</v>
      </c>
      <c r="AY6" s="194"/>
      <c r="AZ6" s="195" t="s">
        <v>97</v>
      </c>
      <c r="BA6" s="196"/>
      <c r="BB6" s="195" t="s">
        <v>102</v>
      </c>
      <c r="BC6" s="196"/>
      <c r="BD6" s="195" t="s">
        <v>103</v>
      </c>
      <c r="BE6" s="196"/>
      <c r="BF6" s="195" t="s">
        <v>132</v>
      </c>
      <c r="BG6" s="196"/>
      <c r="BH6" s="195" t="s">
        <v>133</v>
      </c>
      <c r="BI6" s="196"/>
      <c r="BJ6" s="195" t="s">
        <v>117</v>
      </c>
      <c r="BK6" s="196"/>
      <c r="BL6" s="195" t="s">
        <v>123</v>
      </c>
      <c r="BM6" s="196"/>
      <c r="BN6" s="195" t="s">
        <v>152</v>
      </c>
      <c r="BO6" s="196"/>
      <c r="BP6" s="195" t="s">
        <v>126</v>
      </c>
      <c r="BQ6" s="196"/>
      <c r="BR6" s="195" t="s">
        <v>108</v>
      </c>
      <c r="BS6" s="196"/>
      <c r="BT6" s="195" t="s">
        <v>146</v>
      </c>
      <c r="BU6" s="196"/>
      <c r="BV6" s="195" t="s">
        <v>110</v>
      </c>
      <c r="BW6" s="196"/>
      <c r="BX6" s="195" t="s">
        <v>118</v>
      </c>
      <c r="BY6" s="196"/>
      <c r="BZ6" s="195" t="s">
        <v>2</v>
      </c>
      <c r="CA6" s="196"/>
      <c r="CB6" s="195" t="s">
        <v>3</v>
      </c>
      <c r="CC6" s="196"/>
      <c r="CD6" s="195" t="s">
        <v>116</v>
      </c>
      <c r="CE6" s="196"/>
      <c r="CF6" s="195" t="s">
        <v>5</v>
      </c>
      <c r="CG6" s="196"/>
      <c r="CH6" s="195" t="s">
        <v>6</v>
      </c>
      <c r="CI6" s="196"/>
      <c r="CJ6" s="195" t="s">
        <v>7</v>
      </c>
      <c r="CK6" s="196"/>
      <c r="CL6" s="195" t="s">
        <v>8</v>
      </c>
      <c r="CM6" s="196"/>
      <c r="CN6" s="195" t="s">
        <v>9</v>
      </c>
      <c r="CO6" s="196"/>
      <c r="CP6" s="195" t="s">
        <v>114</v>
      </c>
      <c r="CQ6" s="196"/>
      <c r="CR6" s="195" t="s">
        <v>11</v>
      </c>
      <c r="CS6" s="196"/>
      <c r="CT6" s="195" t="s">
        <v>128</v>
      </c>
      <c r="CU6" s="196"/>
      <c r="CV6" s="195" t="s">
        <v>115</v>
      </c>
      <c r="CW6" s="196"/>
      <c r="CX6" s="193" t="s">
        <v>0</v>
      </c>
      <c r="CY6" s="194"/>
      <c r="CZ6" s="193" t="s">
        <v>131</v>
      </c>
      <c r="DA6" s="194"/>
      <c r="DB6" s="193" t="s">
        <v>106</v>
      </c>
      <c r="DC6" s="194"/>
      <c r="DD6" s="193" t="s">
        <v>120</v>
      </c>
      <c r="DE6" s="194"/>
      <c r="DF6" s="193" t="s">
        <v>121</v>
      </c>
      <c r="DG6" s="194"/>
      <c r="DH6" s="193" t="s">
        <v>104</v>
      </c>
      <c r="DI6" s="194"/>
      <c r="DJ6" s="193" t="s">
        <v>105</v>
      </c>
      <c r="DK6" s="194"/>
    </row>
    <row r="7" spans="1:115" ht="12.75" customHeight="1">
      <c r="A7" s="124"/>
      <c r="B7" s="125">
        <v>2008</v>
      </c>
      <c r="C7" s="125">
        <v>2009</v>
      </c>
      <c r="D7" s="125">
        <v>2008</v>
      </c>
      <c r="E7" s="125">
        <v>2009</v>
      </c>
      <c r="F7" s="125">
        <v>2008</v>
      </c>
      <c r="G7" s="125">
        <v>2009</v>
      </c>
      <c r="H7" s="125">
        <v>2008</v>
      </c>
      <c r="I7" s="125">
        <v>2009</v>
      </c>
      <c r="J7" s="125">
        <v>2008</v>
      </c>
      <c r="K7" s="125">
        <v>2009</v>
      </c>
      <c r="L7" s="125">
        <v>2008</v>
      </c>
      <c r="M7" s="125">
        <v>2009</v>
      </c>
      <c r="N7" s="125">
        <v>2008</v>
      </c>
      <c r="O7" s="125">
        <v>2009</v>
      </c>
      <c r="P7" s="125">
        <v>2008</v>
      </c>
      <c r="Q7" s="125">
        <v>2009</v>
      </c>
      <c r="R7" s="125">
        <v>2008</v>
      </c>
      <c r="S7" s="125">
        <v>2009</v>
      </c>
      <c r="T7" s="125">
        <v>2008</v>
      </c>
      <c r="U7" s="125">
        <v>2009</v>
      </c>
      <c r="V7" s="125">
        <v>2008</v>
      </c>
      <c r="W7" s="125">
        <v>2009</v>
      </c>
      <c r="X7" s="125">
        <v>2008</v>
      </c>
      <c r="Y7" s="125">
        <v>2009</v>
      </c>
      <c r="Z7" s="125">
        <v>2008</v>
      </c>
      <c r="AA7" s="125">
        <v>2009</v>
      </c>
      <c r="AB7" s="125">
        <v>2008</v>
      </c>
      <c r="AC7" s="125">
        <v>2009</v>
      </c>
      <c r="AD7" s="125">
        <v>2008</v>
      </c>
      <c r="AE7" s="125">
        <v>2009</v>
      </c>
      <c r="AF7" s="125">
        <v>2008</v>
      </c>
      <c r="AG7" s="125">
        <v>2009</v>
      </c>
      <c r="AH7" s="125">
        <v>2008</v>
      </c>
      <c r="AI7" s="125">
        <v>2009</v>
      </c>
      <c r="AJ7" s="125">
        <v>2008</v>
      </c>
      <c r="AK7" s="125">
        <v>2009</v>
      </c>
      <c r="AL7" s="125">
        <v>2008</v>
      </c>
      <c r="AM7" s="125">
        <v>2009</v>
      </c>
      <c r="AN7" s="125">
        <v>2008</v>
      </c>
      <c r="AO7" s="125">
        <v>2009</v>
      </c>
      <c r="AP7" s="125">
        <v>2008</v>
      </c>
      <c r="AQ7" s="125">
        <v>2009</v>
      </c>
      <c r="AR7" s="125">
        <v>2008</v>
      </c>
      <c r="AS7" s="125">
        <v>2009</v>
      </c>
      <c r="AT7" s="125">
        <v>2008</v>
      </c>
      <c r="AU7" s="125">
        <v>2009</v>
      </c>
      <c r="AV7" s="125">
        <v>2008</v>
      </c>
      <c r="AW7" s="125">
        <v>2009</v>
      </c>
      <c r="AX7" s="125">
        <v>2008</v>
      </c>
      <c r="AY7" s="125">
        <v>2009</v>
      </c>
      <c r="AZ7" s="125">
        <v>2008</v>
      </c>
      <c r="BA7" s="125">
        <v>2009</v>
      </c>
      <c r="BB7" s="125">
        <v>2008</v>
      </c>
      <c r="BC7" s="125">
        <v>2009</v>
      </c>
      <c r="BD7" s="125">
        <v>2008</v>
      </c>
      <c r="BE7" s="125">
        <v>2009</v>
      </c>
      <c r="BF7" s="125">
        <v>2008</v>
      </c>
      <c r="BG7" s="125">
        <v>2009</v>
      </c>
      <c r="BH7" s="125">
        <v>2008</v>
      </c>
      <c r="BI7" s="125">
        <v>2009</v>
      </c>
      <c r="BJ7" s="125">
        <v>2008</v>
      </c>
      <c r="BK7" s="125">
        <v>2009</v>
      </c>
      <c r="BL7" s="125">
        <v>2008</v>
      </c>
      <c r="BM7" s="125">
        <v>2009</v>
      </c>
      <c r="BN7" s="125">
        <v>2008</v>
      </c>
      <c r="BO7" s="125">
        <v>2009</v>
      </c>
      <c r="BP7" s="125">
        <v>2008</v>
      </c>
      <c r="BQ7" s="125">
        <v>2009</v>
      </c>
      <c r="BR7" s="125">
        <v>2008</v>
      </c>
      <c r="BS7" s="125">
        <v>2009</v>
      </c>
      <c r="BT7" s="125">
        <v>2008</v>
      </c>
      <c r="BU7" s="125">
        <v>2009</v>
      </c>
      <c r="BV7" s="125">
        <v>2008</v>
      </c>
      <c r="BW7" s="125">
        <v>2009</v>
      </c>
      <c r="BX7" s="125">
        <v>2008</v>
      </c>
      <c r="BY7" s="125">
        <v>2009</v>
      </c>
      <c r="BZ7" s="125">
        <v>2008</v>
      </c>
      <c r="CA7" s="125">
        <v>2009</v>
      </c>
      <c r="CB7" s="125">
        <v>2008</v>
      </c>
      <c r="CC7" s="125">
        <v>2009</v>
      </c>
      <c r="CD7" s="125">
        <v>2008</v>
      </c>
      <c r="CE7" s="125">
        <v>2009</v>
      </c>
      <c r="CF7" s="125">
        <v>2008</v>
      </c>
      <c r="CG7" s="125">
        <v>2009</v>
      </c>
      <c r="CH7" s="125">
        <v>2008</v>
      </c>
      <c r="CI7" s="125">
        <v>2009</v>
      </c>
      <c r="CJ7" s="125">
        <v>2008</v>
      </c>
      <c r="CK7" s="125">
        <v>2009</v>
      </c>
      <c r="CL7" s="125">
        <v>2008</v>
      </c>
      <c r="CM7" s="125">
        <v>2009</v>
      </c>
      <c r="CN7" s="125">
        <v>2008</v>
      </c>
      <c r="CO7" s="125">
        <v>2009</v>
      </c>
      <c r="CP7" s="125">
        <v>2008</v>
      </c>
      <c r="CQ7" s="125">
        <v>2009</v>
      </c>
      <c r="CR7" s="125">
        <v>2008</v>
      </c>
      <c r="CS7" s="125">
        <v>2009</v>
      </c>
      <c r="CT7" s="125">
        <v>2008</v>
      </c>
      <c r="CU7" s="125">
        <v>2009</v>
      </c>
      <c r="CV7" s="125">
        <v>2008</v>
      </c>
      <c r="CW7" s="125">
        <v>2009</v>
      </c>
      <c r="CX7" s="125">
        <v>2008</v>
      </c>
      <c r="CY7" s="125">
        <v>2009</v>
      </c>
      <c r="CZ7" s="125">
        <v>2008</v>
      </c>
      <c r="DA7" s="125">
        <v>2009</v>
      </c>
      <c r="DB7" s="133">
        <v>2008</v>
      </c>
      <c r="DC7" s="133">
        <v>2009</v>
      </c>
      <c r="DD7" s="133">
        <v>2008</v>
      </c>
      <c r="DE7" s="133">
        <v>2009</v>
      </c>
      <c r="DF7" s="133">
        <v>2008</v>
      </c>
      <c r="DG7" s="133">
        <v>2009</v>
      </c>
      <c r="DH7" s="133">
        <v>2008</v>
      </c>
      <c r="DI7" s="133">
        <v>2009</v>
      </c>
      <c r="DJ7" s="133">
        <v>2008</v>
      </c>
      <c r="DK7" s="133">
        <v>2009</v>
      </c>
    </row>
    <row r="8" spans="1:107" ht="12.75">
      <c r="A8" s="108" t="s">
        <v>21</v>
      </c>
      <c r="B8" s="61"/>
      <c r="C8" s="107"/>
      <c r="D8" s="61"/>
      <c r="E8" s="115"/>
      <c r="F8" s="61"/>
      <c r="G8" s="107"/>
      <c r="H8" s="61"/>
      <c r="I8" s="115"/>
      <c r="J8" s="61"/>
      <c r="K8" s="107"/>
      <c r="L8" s="61"/>
      <c r="M8" s="107"/>
      <c r="N8" s="61"/>
      <c r="O8" s="107"/>
      <c r="P8" s="61"/>
      <c r="Q8" s="107"/>
      <c r="R8" s="61"/>
      <c r="S8" s="107"/>
      <c r="T8" s="61"/>
      <c r="U8" s="107"/>
      <c r="V8" s="61"/>
      <c r="W8" s="107"/>
      <c r="X8" s="61"/>
      <c r="Y8" s="107"/>
      <c r="Z8" s="61"/>
      <c r="AA8" s="107"/>
      <c r="AB8" s="61"/>
      <c r="AC8" s="107"/>
      <c r="AD8" s="61"/>
      <c r="AE8" s="107"/>
      <c r="AF8" s="61"/>
      <c r="AG8" s="107"/>
      <c r="AH8" s="61"/>
      <c r="AI8" s="107"/>
      <c r="AJ8" s="61"/>
      <c r="AK8" s="107"/>
      <c r="AL8" s="61"/>
      <c r="AM8" s="107"/>
      <c r="AN8" s="61"/>
      <c r="AO8" s="107"/>
      <c r="AP8" s="61"/>
      <c r="AQ8" s="107"/>
      <c r="AR8" s="61"/>
      <c r="AS8" s="107"/>
      <c r="AT8" s="61"/>
      <c r="AU8" s="107"/>
      <c r="AV8" s="61"/>
      <c r="AW8" s="107"/>
      <c r="AX8" s="61"/>
      <c r="AY8" s="107"/>
      <c r="AZ8" s="61"/>
      <c r="BA8" s="107"/>
      <c r="BB8" s="61"/>
      <c r="BC8" s="107"/>
      <c r="BD8" s="61"/>
      <c r="BE8" s="107"/>
      <c r="BF8" s="61"/>
      <c r="BG8" s="107"/>
      <c r="BH8" s="61"/>
      <c r="BI8" s="107"/>
      <c r="BJ8" s="61"/>
      <c r="BK8" s="107"/>
      <c r="BL8" s="61"/>
      <c r="BM8" s="107"/>
      <c r="BN8" s="61"/>
      <c r="BO8" s="107"/>
      <c r="BP8" s="61"/>
      <c r="BQ8" s="107"/>
      <c r="BR8" s="61"/>
      <c r="BS8" s="107"/>
      <c r="BT8" s="61"/>
      <c r="BU8" s="107"/>
      <c r="BV8" s="61"/>
      <c r="BW8" s="107"/>
      <c r="BX8" s="61"/>
      <c r="BY8" s="107"/>
      <c r="BZ8" s="61"/>
      <c r="CA8" s="107"/>
      <c r="CB8" s="61"/>
      <c r="CC8" s="107"/>
      <c r="CD8" s="61"/>
      <c r="CE8" s="107"/>
      <c r="CF8" s="61"/>
      <c r="CG8" s="107"/>
      <c r="CH8" s="61"/>
      <c r="CI8" s="107"/>
      <c r="CJ8" s="61"/>
      <c r="CK8" s="107"/>
      <c r="CL8" s="61"/>
      <c r="CM8" s="107"/>
      <c r="CN8" s="61"/>
      <c r="CO8" s="107"/>
      <c r="CP8" s="61"/>
      <c r="CQ8" s="107"/>
      <c r="CR8" s="61"/>
      <c r="CS8" s="107"/>
      <c r="CT8" s="61"/>
      <c r="CU8" s="107"/>
      <c r="CV8" s="61"/>
      <c r="CW8" s="107"/>
      <c r="CX8" s="61"/>
      <c r="CY8" s="107"/>
      <c r="CZ8" s="61"/>
      <c r="DA8" s="107"/>
      <c r="DC8" s="123"/>
    </row>
    <row r="9" spans="1:107" ht="12.75">
      <c r="A9" s="108" t="s">
        <v>22</v>
      </c>
      <c r="B9" s="61"/>
      <c r="C9" s="107"/>
      <c r="D9" s="61"/>
      <c r="E9" s="115"/>
      <c r="F9" s="61"/>
      <c r="G9" s="107"/>
      <c r="H9" s="61"/>
      <c r="I9" s="115"/>
      <c r="J9" s="61"/>
      <c r="K9" s="107"/>
      <c r="L9" s="61"/>
      <c r="M9" s="107"/>
      <c r="N9" s="61"/>
      <c r="O9" s="107"/>
      <c r="P9" s="61"/>
      <c r="Q9" s="107"/>
      <c r="R9" s="61"/>
      <c r="S9" s="107"/>
      <c r="T9" s="61"/>
      <c r="U9" s="107"/>
      <c r="V9" s="61"/>
      <c r="W9" s="107"/>
      <c r="X9" s="61"/>
      <c r="Y9" s="107"/>
      <c r="Z9" s="61"/>
      <c r="AA9" s="107"/>
      <c r="AB9" s="61"/>
      <c r="AC9" s="107"/>
      <c r="AD9" s="61"/>
      <c r="AE9" s="107"/>
      <c r="AF9" s="61"/>
      <c r="AG9" s="107"/>
      <c r="AH9" s="61"/>
      <c r="AI9" s="107"/>
      <c r="AJ9" s="61"/>
      <c r="AK9" s="107"/>
      <c r="AL9" s="61"/>
      <c r="AM9" s="107"/>
      <c r="AN9" s="61"/>
      <c r="AO9" s="107"/>
      <c r="AP9" s="61"/>
      <c r="AQ9" s="107"/>
      <c r="AR9" s="61"/>
      <c r="AS9" s="107">
        <f>79491273-76781934</f>
        <v>2709339</v>
      </c>
      <c r="AT9" s="61"/>
      <c r="AU9" s="107"/>
      <c r="AV9" s="61"/>
      <c r="AW9" s="107"/>
      <c r="AX9" s="61"/>
      <c r="AY9" s="107"/>
      <c r="AZ9" s="61"/>
      <c r="BA9" s="107"/>
      <c r="BB9" s="61"/>
      <c r="BC9" s="107"/>
      <c r="BD9" s="61"/>
      <c r="BE9" s="107"/>
      <c r="BF9" s="61"/>
      <c r="BG9" s="107"/>
      <c r="BH9" s="61"/>
      <c r="BI9" s="107"/>
      <c r="BJ9" s="61"/>
      <c r="BK9" s="107"/>
      <c r="BL9" s="61"/>
      <c r="BM9" s="107"/>
      <c r="BN9" s="61"/>
      <c r="BO9" s="107"/>
      <c r="BP9" s="61"/>
      <c r="BQ9" s="107"/>
      <c r="BR9" s="61"/>
      <c r="BS9" s="107"/>
      <c r="BT9" s="61"/>
      <c r="BU9" s="107"/>
      <c r="BV9" s="61"/>
      <c r="BW9" s="107"/>
      <c r="BX9" s="61"/>
      <c r="BY9" s="107"/>
      <c r="BZ9" s="61"/>
      <c r="CA9" s="107"/>
      <c r="CB9" s="61"/>
      <c r="CC9" s="107"/>
      <c r="CD9" s="61"/>
      <c r="CE9" s="107"/>
      <c r="CF9" s="61"/>
      <c r="CG9" s="107"/>
      <c r="CH9" s="61"/>
      <c r="CI9" s="107"/>
      <c r="CJ9" s="61"/>
      <c r="CK9" s="107"/>
      <c r="CL9" s="61"/>
      <c r="CM9" s="107"/>
      <c r="CN9" s="61"/>
      <c r="CO9" s="107"/>
      <c r="CP9" s="61"/>
      <c r="CQ9" s="107"/>
      <c r="CR9" s="61"/>
      <c r="CS9" s="107"/>
      <c r="CT9" s="61"/>
      <c r="CU9" s="107"/>
      <c r="CV9" s="61"/>
      <c r="CW9" s="107"/>
      <c r="CX9" s="61"/>
      <c r="CY9" s="107"/>
      <c r="CZ9" s="61"/>
      <c r="DA9" s="107"/>
      <c r="DB9" s="63"/>
      <c r="DC9" s="113"/>
    </row>
    <row r="10" spans="1:115" ht="12.75">
      <c r="A10" s="61" t="s">
        <v>23</v>
      </c>
      <c r="B10" s="63">
        <f aca="true" t="shared" si="0" ref="B10:C12">+D10+F10+H10+J10+L10+N10+P10+R10+T10+V10+X10+Z10+AB10+AD10+AF10+AH10+AJ10+AL10+AN10+AP10+AR10+AT10+AV10+AX10+AZ10+BB10+BD10+BF10+BH10+BJ10+BL10+BN10+BP10+BR10+BT10+BV10+BX10+BZ10+CB10+CD10+CF10+CH10+CJ10+CL10+CN10+CP10+CR10+CT10+CV10+CX10+CZ10+DB10+DD10+DF10+DH10+DJ10</f>
        <v>60320154.11546</v>
      </c>
      <c r="C10" s="113">
        <f t="shared" si="0"/>
        <v>70400455.01300003</v>
      </c>
      <c r="D10" s="63">
        <v>481015.951</v>
      </c>
      <c r="E10" s="116">
        <v>638967.243</v>
      </c>
      <c r="F10" s="63">
        <v>37349.692</v>
      </c>
      <c r="G10" s="113">
        <v>19772.391</v>
      </c>
      <c r="H10" s="63">
        <v>200777.509</v>
      </c>
      <c r="I10" s="116">
        <v>238209.076</v>
      </c>
      <c r="J10" s="63">
        <v>3720779.205</v>
      </c>
      <c r="K10" s="113">
        <v>4301443.941</v>
      </c>
      <c r="L10" s="63">
        <v>889673.862</v>
      </c>
      <c r="M10" s="113">
        <v>1225903.209</v>
      </c>
      <c r="N10" s="63">
        <v>455507.678</v>
      </c>
      <c r="O10" s="113">
        <v>426890.358</v>
      </c>
      <c r="P10" s="63">
        <v>30485.0785</v>
      </c>
      <c r="Q10" s="113">
        <f>575.394+2603+14787.761</f>
        <v>17966.155</v>
      </c>
      <c r="R10" s="63">
        <v>1120088.676</v>
      </c>
      <c r="S10" s="113">
        <v>795139.284</v>
      </c>
      <c r="T10" s="63">
        <v>99536.985</v>
      </c>
      <c r="U10" s="113">
        <v>101159.145</v>
      </c>
      <c r="V10" s="63">
        <v>406071.765</v>
      </c>
      <c r="W10" s="113">
        <v>466049.887</v>
      </c>
      <c r="X10" s="63">
        <f>51146.84909+283.95839+9943.38166+37715.024+715+241.668+587.564+6000+196884.901</f>
        <v>303518.34614000004</v>
      </c>
      <c r="Y10" s="113">
        <v>410078.218</v>
      </c>
      <c r="Z10" s="63">
        <v>108722.70515</v>
      </c>
      <c r="AA10" s="113">
        <v>135307.135</v>
      </c>
      <c r="AB10" s="63">
        <v>1378024</v>
      </c>
      <c r="AC10" s="113">
        <v>1371579</v>
      </c>
      <c r="AD10" s="63">
        <v>98511.356</v>
      </c>
      <c r="AE10" s="113">
        <v>96736.861</v>
      </c>
      <c r="AF10" s="63">
        <v>929901.40581</v>
      </c>
      <c r="AG10" s="113">
        <v>582165.794</v>
      </c>
      <c r="AH10" s="63">
        <v>129957.755</v>
      </c>
      <c r="AI10" s="113">
        <v>97213.472</v>
      </c>
      <c r="AJ10" s="63">
        <v>1003639.91135</v>
      </c>
      <c r="AK10" s="113">
        <v>0</v>
      </c>
      <c r="AL10" s="63">
        <v>1752358.425</v>
      </c>
      <c r="AM10" s="113">
        <v>2950480.134</v>
      </c>
      <c r="AN10" s="63">
        <v>11177.157</v>
      </c>
      <c r="AO10" s="113">
        <v>18590.136</v>
      </c>
      <c r="AP10" s="63">
        <v>91811.60986</v>
      </c>
      <c r="AQ10" s="113">
        <v>93461.083</v>
      </c>
      <c r="AR10" s="63">
        <f>60958.534+2876.947</f>
        <v>63835.481</v>
      </c>
      <c r="AS10" s="113">
        <v>76781.934</v>
      </c>
      <c r="AT10" s="63">
        <v>110275.82285</v>
      </c>
      <c r="AU10" s="113">
        <v>130894</v>
      </c>
      <c r="AV10" s="63">
        <v>788.3</v>
      </c>
      <c r="AW10" s="113">
        <v>0</v>
      </c>
      <c r="AX10" s="63">
        <v>59102.828</v>
      </c>
      <c r="AY10" s="113">
        <v>137274.759</v>
      </c>
      <c r="AZ10" s="63">
        <f>1580.2978+6057.1</f>
        <v>7637.397800000001</v>
      </c>
      <c r="BA10" s="113">
        <f>1566.104+2925.1</f>
        <v>4491.204</v>
      </c>
      <c r="BB10" s="63">
        <f>5678.701+4910.59+4377.448</f>
        <v>14966.739000000001</v>
      </c>
      <c r="BC10" s="113">
        <f>5920.525+4275.642+14366.738</f>
        <v>24562.905</v>
      </c>
      <c r="BD10" s="63">
        <v>0</v>
      </c>
      <c r="BE10" s="113">
        <v>1032272.683</v>
      </c>
      <c r="BF10" s="63">
        <v>0</v>
      </c>
      <c r="BG10" s="113">
        <v>131565.251</v>
      </c>
      <c r="BH10" s="63">
        <v>0</v>
      </c>
      <c r="BI10" s="113">
        <v>855978.372</v>
      </c>
      <c r="BJ10" s="63">
        <v>42527796.783</v>
      </c>
      <c r="BK10" s="113">
        <v>46007077.817</v>
      </c>
      <c r="BL10" s="63">
        <v>2713442</v>
      </c>
      <c r="BM10" s="113">
        <v>2430662</v>
      </c>
      <c r="BN10" s="63">
        <v>0</v>
      </c>
      <c r="BO10" s="113">
        <f>48238.881+228761.487+63</f>
        <v>277063.368</v>
      </c>
      <c r="BP10" s="63">
        <v>0</v>
      </c>
      <c r="BQ10" s="113">
        <f>33471.622+511698.558+123597.552</f>
        <v>668767.7320000001</v>
      </c>
      <c r="BR10" s="63">
        <v>342458.898</v>
      </c>
      <c r="BS10" s="113">
        <v>252280.734</v>
      </c>
      <c r="BT10" s="63">
        <v>133934</v>
      </c>
      <c r="BU10" s="113">
        <v>190176.22</v>
      </c>
      <c r="BV10" s="63">
        <v>0</v>
      </c>
      <c r="BW10" s="113">
        <f>30956.335+484609.252+10500</f>
        <v>526065.587</v>
      </c>
      <c r="BX10" s="63">
        <v>0</v>
      </c>
      <c r="BY10" s="113">
        <v>164240.931</v>
      </c>
      <c r="BZ10" s="63">
        <v>245520.185</v>
      </c>
      <c r="CA10" s="113">
        <v>349029.598</v>
      </c>
      <c r="CB10" s="63">
        <v>217437.425</v>
      </c>
      <c r="CC10" s="113">
        <v>128080.541</v>
      </c>
      <c r="CD10" s="63">
        <v>0</v>
      </c>
      <c r="CE10" s="113">
        <v>13245</v>
      </c>
      <c r="CF10" s="63">
        <v>0</v>
      </c>
      <c r="CG10" s="113">
        <v>67486.046</v>
      </c>
      <c r="CH10" s="63">
        <v>0</v>
      </c>
      <c r="CI10" s="113">
        <f>13088.864+894.261</f>
        <v>13983.125</v>
      </c>
      <c r="CJ10" s="63">
        <v>0</v>
      </c>
      <c r="CK10" s="113">
        <v>12424</v>
      </c>
      <c r="CL10" s="63">
        <f>1478.304+4199.393+3055.298</f>
        <v>8732.994999999999</v>
      </c>
      <c r="CM10" s="113">
        <f>183.79+5160.339+6081.043+341.998</f>
        <v>11767.169999999998</v>
      </c>
      <c r="CN10" s="63">
        <v>0</v>
      </c>
      <c r="CO10" s="113">
        <f>78212.29+1427+380191.41</f>
        <v>459830.69999999995</v>
      </c>
      <c r="CP10" s="63">
        <v>0</v>
      </c>
      <c r="CQ10" s="113">
        <v>542726.938</v>
      </c>
      <c r="CR10" s="63">
        <v>257532.718</v>
      </c>
      <c r="CS10" s="113">
        <v>400513.518</v>
      </c>
      <c r="CT10" s="63">
        <v>300697.845</v>
      </c>
      <c r="CU10" s="113">
        <v>302836.339</v>
      </c>
      <c r="CV10" s="63">
        <v>0</v>
      </c>
      <c r="CW10" s="113">
        <v>245261</v>
      </c>
      <c r="CX10" s="63">
        <v>0</v>
      </c>
      <c r="CY10" s="113">
        <v>11566.245</v>
      </c>
      <c r="CZ10" s="63">
        <v>12127.974</v>
      </c>
      <c r="DA10" s="113">
        <v>12211.727</v>
      </c>
      <c r="DB10" s="63">
        <v>54957.651</v>
      </c>
      <c r="DC10" s="113">
        <v>257259.782</v>
      </c>
      <c r="DD10" s="63">
        <v>0</v>
      </c>
      <c r="DE10" s="63">
        <f>791689.469-244620.4</f>
        <v>547069.069</v>
      </c>
      <c r="DF10" s="63">
        <v>0</v>
      </c>
      <c r="DG10" s="63">
        <f>12648.056+270+24701.888+36044.337</f>
        <v>73664.281</v>
      </c>
      <c r="DH10" s="63">
        <v>0</v>
      </c>
      <c r="DI10" s="63">
        <v>270</v>
      </c>
      <c r="DJ10" s="63">
        <v>0</v>
      </c>
      <c r="DK10" s="63">
        <v>53961.915</v>
      </c>
    </row>
    <row r="11" spans="1:115" ht="12.75">
      <c r="A11" s="61" t="s">
        <v>24</v>
      </c>
      <c r="B11" s="63">
        <f t="shared" si="0"/>
        <v>17017505.0417</v>
      </c>
      <c r="C11" s="113">
        <f t="shared" si="0"/>
        <v>23204820.474</v>
      </c>
      <c r="D11" s="63">
        <v>1317934.567</v>
      </c>
      <c r="E11" s="116">
        <v>57096.775</v>
      </c>
      <c r="F11" s="63">
        <v>82921.612</v>
      </c>
      <c r="G11" s="113">
        <v>94728.854</v>
      </c>
      <c r="H11" s="63">
        <v>110348.208</v>
      </c>
      <c r="I11" s="116">
        <v>96240.919</v>
      </c>
      <c r="J11" s="63">
        <v>375875.578</v>
      </c>
      <c r="K11" s="113">
        <v>2164170.536</v>
      </c>
      <c r="L11" s="63">
        <v>352643.923</v>
      </c>
      <c r="M11" s="113">
        <v>1350529.149</v>
      </c>
      <c r="N11" s="63">
        <v>70485.423</v>
      </c>
      <c r="O11" s="113">
        <v>70485.424</v>
      </c>
      <c r="P11" s="63">
        <v>435383.081</v>
      </c>
      <c r="Q11" s="113">
        <v>470002.567</v>
      </c>
      <c r="R11" s="63">
        <v>319895.267</v>
      </c>
      <c r="S11" s="113">
        <v>360710.349</v>
      </c>
      <c r="T11" s="63">
        <f>9155.211+65589.677</f>
        <v>74744.88799999999</v>
      </c>
      <c r="U11" s="113">
        <f>9155.211+65589.677</f>
        <v>74744.88799999999</v>
      </c>
      <c r="V11" s="63">
        <v>109639.394</v>
      </c>
      <c r="W11" s="113">
        <f>103925.909+28383.308</f>
        <v>132309.217</v>
      </c>
      <c r="X11" s="63">
        <f>21664.85+32919.543+4038.516+77920.265</f>
        <v>136543.174</v>
      </c>
      <c r="Y11" s="113">
        <v>0</v>
      </c>
      <c r="Z11" s="63">
        <v>32736.1177</v>
      </c>
      <c r="AA11" s="113">
        <v>29262.215</v>
      </c>
      <c r="AB11" s="63">
        <v>73898</v>
      </c>
      <c r="AC11" s="113">
        <v>127375</v>
      </c>
      <c r="AD11" s="63">
        <v>101666.2</v>
      </c>
      <c r="AE11" s="113">
        <v>124158.356</v>
      </c>
      <c r="AF11" s="63">
        <v>1968773.41946</v>
      </c>
      <c r="AG11" s="113">
        <v>1883959.388</v>
      </c>
      <c r="AH11" s="63">
        <v>90492.35</v>
      </c>
      <c r="AI11" s="113">
        <v>90492.35</v>
      </c>
      <c r="AJ11" s="63">
        <v>975808.801</v>
      </c>
      <c r="AK11" s="113">
        <v>0</v>
      </c>
      <c r="AL11" s="63">
        <v>818545.377</v>
      </c>
      <c r="AM11" s="113">
        <f>726856.154+162100.141</f>
        <v>888956.2949999999</v>
      </c>
      <c r="AN11" s="63">
        <v>39565.055</v>
      </c>
      <c r="AO11" s="113">
        <v>40043.073</v>
      </c>
      <c r="AP11" s="63">
        <v>282426.59254</v>
      </c>
      <c r="AQ11" s="113">
        <v>275109.256</v>
      </c>
      <c r="AR11" s="63">
        <v>0</v>
      </c>
      <c r="AS11" s="113">
        <v>0</v>
      </c>
      <c r="AT11" s="63">
        <v>7236.166</v>
      </c>
      <c r="AU11" s="113">
        <v>0</v>
      </c>
      <c r="AV11" s="63">
        <v>194678.335</v>
      </c>
      <c r="AW11" s="113">
        <v>0</v>
      </c>
      <c r="AX11" s="63">
        <v>440074.31</v>
      </c>
      <c r="AY11" s="113">
        <v>464892.883</v>
      </c>
      <c r="AZ11" s="63">
        <v>179263.005</v>
      </c>
      <c r="BA11" s="113">
        <v>177622.205</v>
      </c>
      <c r="BB11" s="63">
        <v>55852.969</v>
      </c>
      <c r="BC11" s="113">
        <v>55997.969</v>
      </c>
      <c r="BD11" s="63">
        <v>0</v>
      </c>
      <c r="BE11" s="113">
        <f>1454308.043+720000+96970.263</f>
        <v>2271278.306</v>
      </c>
      <c r="BF11" s="63">
        <v>0</v>
      </c>
      <c r="BG11" s="113">
        <v>89975.48</v>
      </c>
      <c r="BH11" s="63">
        <v>0</v>
      </c>
      <c r="BI11" s="113">
        <v>453783.618</v>
      </c>
      <c r="BJ11" s="63">
        <f>225322.982+1090953.987</f>
        <v>1316276.969</v>
      </c>
      <c r="BK11" s="113">
        <f>1407216.018+225322.982</f>
        <v>1632539</v>
      </c>
      <c r="BL11" s="63">
        <v>5855803</v>
      </c>
      <c r="BM11" s="113">
        <v>5552190</v>
      </c>
      <c r="BN11" s="63">
        <v>0</v>
      </c>
      <c r="BO11" s="113">
        <f>702867.131</f>
        <v>702867.131</v>
      </c>
      <c r="BP11" s="63">
        <v>0</v>
      </c>
      <c r="BQ11" s="113">
        <v>308871.11</v>
      </c>
      <c r="BR11" s="63">
        <v>135848.285</v>
      </c>
      <c r="BS11" s="113">
        <v>437289.205</v>
      </c>
      <c r="BT11" s="63">
        <v>50604</v>
      </c>
      <c r="BU11" s="113">
        <v>39422</v>
      </c>
      <c r="BV11" s="63">
        <v>0</v>
      </c>
      <c r="BW11" s="113">
        <v>278144.875</v>
      </c>
      <c r="BX11" s="63">
        <v>0</v>
      </c>
      <c r="BY11" s="113">
        <v>188666.474</v>
      </c>
      <c r="BZ11" s="63">
        <v>179219.55</v>
      </c>
      <c r="CA11" s="113">
        <v>194308.18</v>
      </c>
      <c r="CB11" s="63">
        <v>86560.859</v>
      </c>
      <c r="CC11" s="113">
        <v>192751.214</v>
      </c>
      <c r="CD11" s="63">
        <v>0</v>
      </c>
      <c r="CE11" s="113">
        <v>52933</v>
      </c>
      <c r="CF11" s="63">
        <v>0</v>
      </c>
      <c r="CG11" s="113">
        <v>128000</v>
      </c>
      <c r="CH11" s="63">
        <v>0</v>
      </c>
      <c r="CI11" s="113">
        <v>62599.973</v>
      </c>
      <c r="CJ11" s="63">
        <v>0</v>
      </c>
      <c r="CK11" s="113">
        <v>148260</v>
      </c>
      <c r="CL11" s="63">
        <v>4477.352</v>
      </c>
      <c r="CM11" s="113">
        <v>5007.228</v>
      </c>
      <c r="CN11" s="63">
        <v>0</v>
      </c>
      <c r="CO11" s="113">
        <f>2155.075+19489.449</f>
        <v>21644.524</v>
      </c>
      <c r="CP11" s="63">
        <v>0</v>
      </c>
      <c r="CQ11" s="113">
        <f>25357.739+31350</f>
        <v>56707.739</v>
      </c>
      <c r="CR11" s="63">
        <v>466924.142</v>
      </c>
      <c r="CS11" s="113">
        <v>595510.544</v>
      </c>
      <c r="CT11" s="63">
        <v>579.903</v>
      </c>
      <c r="CU11" s="113">
        <v>2390.603</v>
      </c>
      <c r="CV11" s="63">
        <v>0</v>
      </c>
      <c r="CW11" s="113">
        <v>0</v>
      </c>
      <c r="CX11" s="63">
        <v>0</v>
      </c>
      <c r="CY11" s="113">
        <v>124075</v>
      </c>
      <c r="CZ11" s="63">
        <v>817.661</v>
      </c>
      <c r="DA11" s="113">
        <v>901.207</v>
      </c>
      <c r="DB11" s="63">
        <v>272961.508</v>
      </c>
      <c r="DC11" s="113">
        <v>282366.617</v>
      </c>
      <c r="DD11" s="63">
        <v>0</v>
      </c>
      <c r="DE11" s="63">
        <v>244620.4</v>
      </c>
      <c r="DF11" s="63">
        <v>0</v>
      </c>
      <c r="DG11" s="63">
        <v>69978.478</v>
      </c>
      <c r="DH11" s="63">
        <v>0</v>
      </c>
      <c r="DI11" s="63">
        <v>2090</v>
      </c>
      <c r="DJ11" s="63">
        <v>0</v>
      </c>
      <c r="DK11" s="63">
        <v>36760.9</v>
      </c>
    </row>
    <row r="12" spans="1:115" ht="12.75">
      <c r="A12" s="61" t="s">
        <v>25</v>
      </c>
      <c r="B12" s="63">
        <f t="shared" si="0"/>
        <v>10564852.856999999</v>
      </c>
      <c r="C12" s="113">
        <f t="shared" si="0"/>
        <v>10982331.747999998</v>
      </c>
      <c r="D12" s="63">
        <v>0</v>
      </c>
      <c r="E12" s="116">
        <v>1260000</v>
      </c>
      <c r="F12" s="63">
        <v>0</v>
      </c>
      <c r="G12" s="113">
        <v>0</v>
      </c>
      <c r="H12" s="63">
        <v>0</v>
      </c>
      <c r="I12" s="116">
        <v>0</v>
      </c>
      <c r="J12" s="63">
        <f>41129+83255.003+838064.852+825417.206</f>
        <v>1787866.061</v>
      </c>
      <c r="K12" s="113">
        <v>0</v>
      </c>
      <c r="L12" s="63">
        <f>396604.318+6997.599+217937.564+110997.299+118414.51</f>
        <v>850951.29</v>
      </c>
      <c r="M12" s="113">
        <v>0</v>
      </c>
      <c r="N12" s="63">
        <v>46566.818</v>
      </c>
      <c r="O12" s="113">
        <v>133202.709</v>
      </c>
      <c r="P12" s="63">
        <v>12969.38</v>
      </c>
      <c r="Q12" s="113">
        <v>0</v>
      </c>
      <c r="R12" s="63">
        <v>46534.279</v>
      </c>
      <c r="S12" s="113">
        <v>47128.806</v>
      </c>
      <c r="T12" s="63">
        <v>0</v>
      </c>
      <c r="U12" s="113">
        <v>0</v>
      </c>
      <c r="V12" s="63">
        <f>27733.008+7345.975</f>
        <v>35078.983</v>
      </c>
      <c r="W12" s="113">
        <v>141347.118</v>
      </c>
      <c r="X12" s="63">
        <v>0</v>
      </c>
      <c r="Y12" s="113">
        <v>0</v>
      </c>
      <c r="Z12" s="63">
        <v>0</v>
      </c>
      <c r="AA12" s="113">
        <v>0</v>
      </c>
      <c r="AB12" s="63">
        <v>1877</v>
      </c>
      <c r="AC12" s="113">
        <f>1877+49159</f>
        <v>51036</v>
      </c>
      <c r="AD12" s="63">
        <v>1164.638</v>
      </c>
      <c r="AE12" s="113">
        <v>1164.638</v>
      </c>
      <c r="AF12" s="63">
        <v>0</v>
      </c>
      <c r="AG12" s="113">
        <v>0</v>
      </c>
      <c r="AH12" s="63">
        <v>0</v>
      </c>
      <c r="AI12" s="113">
        <v>0</v>
      </c>
      <c r="AJ12" s="63">
        <v>0</v>
      </c>
      <c r="AK12" s="113">
        <v>0</v>
      </c>
      <c r="AL12" s="63">
        <f>63951.566+211027.787</f>
        <v>274979.353</v>
      </c>
      <c r="AM12" s="113">
        <v>3460.154</v>
      </c>
      <c r="AN12" s="63">
        <v>1568.542</v>
      </c>
      <c r="AO12" s="113">
        <v>1568.542</v>
      </c>
      <c r="AP12" s="63">
        <v>0</v>
      </c>
      <c r="AQ12" s="113">
        <v>0</v>
      </c>
      <c r="AR12" s="63">
        <v>0</v>
      </c>
      <c r="AS12" s="113">
        <v>2709.339</v>
      </c>
      <c r="AT12" s="63">
        <v>0</v>
      </c>
      <c r="AU12" s="113">
        <v>0</v>
      </c>
      <c r="AV12" s="63">
        <v>0</v>
      </c>
      <c r="AW12" s="113">
        <v>0</v>
      </c>
      <c r="AX12" s="63">
        <v>0</v>
      </c>
      <c r="AY12" s="113">
        <v>0</v>
      </c>
      <c r="AZ12" s="63">
        <v>0</v>
      </c>
      <c r="BA12" s="113">
        <v>0</v>
      </c>
      <c r="BB12" s="63">
        <v>0</v>
      </c>
      <c r="BC12" s="113">
        <v>0</v>
      </c>
      <c r="BD12" s="63">
        <v>0</v>
      </c>
      <c r="BE12" s="113">
        <v>130576.513</v>
      </c>
      <c r="BF12" s="63">
        <v>0</v>
      </c>
      <c r="BG12" s="113">
        <v>0</v>
      </c>
      <c r="BH12" s="63">
        <v>0</v>
      </c>
      <c r="BI12" s="113">
        <v>23236.521</v>
      </c>
      <c r="BJ12" s="63">
        <v>421245.425</v>
      </c>
      <c r="BK12" s="113">
        <v>1328720.316</v>
      </c>
      <c r="BL12" s="63">
        <v>6999960</v>
      </c>
      <c r="BM12" s="113">
        <v>6999960</v>
      </c>
      <c r="BN12" s="63">
        <v>0</v>
      </c>
      <c r="BO12" s="113">
        <f>12462.848+2400</f>
        <v>14862.848</v>
      </c>
      <c r="BP12" s="63">
        <v>0</v>
      </c>
      <c r="BQ12" s="113">
        <v>500000</v>
      </c>
      <c r="BR12" s="63">
        <v>41232.712</v>
      </c>
      <c r="BS12" s="113">
        <v>31714.15</v>
      </c>
      <c r="BT12" s="63">
        <v>32480</v>
      </c>
      <c r="BU12" s="113">
        <v>42604</v>
      </c>
      <c r="BV12" s="63">
        <v>0</v>
      </c>
      <c r="BW12" s="113">
        <v>0</v>
      </c>
      <c r="BX12" s="63">
        <v>0</v>
      </c>
      <c r="BY12" s="113">
        <v>230239.131</v>
      </c>
      <c r="BZ12" s="63">
        <v>0</v>
      </c>
      <c r="CA12" s="113">
        <v>0</v>
      </c>
      <c r="CB12" s="63">
        <v>0</v>
      </c>
      <c r="CC12" s="113">
        <v>0</v>
      </c>
      <c r="CD12" s="63">
        <v>0</v>
      </c>
      <c r="CE12" s="113">
        <v>18620</v>
      </c>
      <c r="CF12" s="63">
        <v>0</v>
      </c>
      <c r="CG12" s="113">
        <v>0</v>
      </c>
      <c r="CH12" s="63">
        <v>0</v>
      </c>
      <c r="CI12" s="113">
        <v>0</v>
      </c>
      <c r="CJ12" s="63">
        <v>0</v>
      </c>
      <c r="CK12" s="113">
        <v>0</v>
      </c>
      <c r="CL12" s="63">
        <f>2.133+1.295+1046.304</f>
        <v>1049.7320000000002</v>
      </c>
      <c r="CM12" s="113">
        <f>2.578+1.295+1097.548</f>
        <v>1101.421</v>
      </c>
      <c r="CN12" s="63">
        <v>0</v>
      </c>
      <c r="CO12" s="113">
        <v>0</v>
      </c>
      <c r="CP12" s="63">
        <v>0</v>
      </c>
      <c r="CQ12" s="113">
        <v>0</v>
      </c>
      <c r="CR12" s="63">
        <v>0</v>
      </c>
      <c r="CS12" s="113">
        <v>0</v>
      </c>
      <c r="CT12" s="63">
        <v>0</v>
      </c>
      <c r="CU12" s="113">
        <v>0</v>
      </c>
      <c r="CV12" s="63">
        <v>0</v>
      </c>
      <c r="CW12" s="113">
        <v>0</v>
      </c>
      <c r="CX12" s="63">
        <v>0</v>
      </c>
      <c r="CY12" s="113">
        <v>0</v>
      </c>
      <c r="CZ12" s="63">
        <f>7.091+9321.553</f>
        <v>9328.644</v>
      </c>
      <c r="DA12" s="113">
        <f>30.513+19049.029</f>
        <v>19079.541999999998</v>
      </c>
      <c r="DB12" s="63">
        <v>0</v>
      </c>
      <c r="DC12" s="113">
        <v>0</v>
      </c>
      <c r="DD12" s="63">
        <v>0</v>
      </c>
      <c r="DE12" s="63">
        <v>0</v>
      </c>
      <c r="DF12" s="63">
        <v>0</v>
      </c>
      <c r="DG12" s="63">
        <v>0</v>
      </c>
      <c r="DH12" s="63">
        <v>0</v>
      </c>
      <c r="DI12" s="63">
        <v>0</v>
      </c>
      <c r="DJ12" s="63">
        <v>0</v>
      </c>
      <c r="DK12" s="63">
        <v>0</v>
      </c>
    </row>
    <row r="13" spans="1:115" ht="12.75">
      <c r="A13" s="108" t="s">
        <v>26</v>
      </c>
      <c r="B13" s="64">
        <f aca="true" t="shared" si="1" ref="B13:G13">SUM(B10:B12)</f>
        <v>87902512.01415999</v>
      </c>
      <c r="C13" s="114">
        <f t="shared" si="1"/>
        <v>104587607.23500001</v>
      </c>
      <c r="D13" s="64">
        <f t="shared" si="1"/>
        <v>1798950.5180000002</v>
      </c>
      <c r="E13" s="117">
        <f t="shared" si="1"/>
        <v>1956064.0180000002</v>
      </c>
      <c r="F13" s="64">
        <f t="shared" si="1"/>
        <v>120271.304</v>
      </c>
      <c r="G13" s="114">
        <f t="shared" si="1"/>
        <v>114501.24500000001</v>
      </c>
      <c r="H13" s="64">
        <f aca="true" t="shared" si="2" ref="H13:AF13">SUM(H10:H12)</f>
        <v>311125.717</v>
      </c>
      <c r="I13" s="117">
        <f>SUM(I10:I12)</f>
        <v>334449.995</v>
      </c>
      <c r="J13" s="64">
        <f t="shared" si="2"/>
        <v>5884520.844</v>
      </c>
      <c r="K13" s="114">
        <f>SUM(K10:K12)</f>
        <v>6465614.477</v>
      </c>
      <c r="L13" s="64">
        <f t="shared" si="2"/>
        <v>2093269.075</v>
      </c>
      <c r="M13" s="114">
        <f>SUM(M10:M12)</f>
        <v>2576432.358</v>
      </c>
      <c r="N13" s="64">
        <f t="shared" si="2"/>
        <v>572559.919</v>
      </c>
      <c r="O13" s="114">
        <f>SUM(O10:O12)</f>
        <v>630578.491</v>
      </c>
      <c r="P13" s="64">
        <f t="shared" si="2"/>
        <v>478837.5395</v>
      </c>
      <c r="Q13" s="114">
        <f>SUM(Q10:Q12)</f>
        <v>487968.72199999995</v>
      </c>
      <c r="R13" s="64">
        <f t="shared" si="2"/>
        <v>1486518.222</v>
      </c>
      <c r="S13" s="114">
        <f>SUM(S10:S12)</f>
        <v>1202978.439</v>
      </c>
      <c r="T13" s="64">
        <f t="shared" si="2"/>
        <v>174281.873</v>
      </c>
      <c r="U13" s="114">
        <f>SUM(U10:U12)</f>
        <v>175904.033</v>
      </c>
      <c r="V13" s="64">
        <f t="shared" si="2"/>
        <v>550790.142</v>
      </c>
      <c r="W13" s="114">
        <f>SUM(W10:W12)</f>
        <v>739706.2220000001</v>
      </c>
      <c r="X13" s="64">
        <f t="shared" si="2"/>
        <v>440061.52014000004</v>
      </c>
      <c r="Y13" s="114">
        <f>SUM(Y10:Y12)</f>
        <v>410078.218</v>
      </c>
      <c r="Z13" s="64">
        <f t="shared" si="2"/>
        <v>141458.82285</v>
      </c>
      <c r="AA13" s="114">
        <f>SUM(AA10:AA12)</f>
        <v>164569.35</v>
      </c>
      <c r="AB13" s="64">
        <f t="shared" si="2"/>
        <v>1453799</v>
      </c>
      <c r="AC13" s="114">
        <f>SUM(AC10:AC12)</f>
        <v>1549990</v>
      </c>
      <c r="AD13" s="64">
        <f t="shared" si="2"/>
        <v>201342.194</v>
      </c>
      <c r="AE13" s="114">
        <f>SUM(AE10:AE12)</f>
        <v>222059.855</v>
      </c>
      <c r="AF13" s="64">
        <f t="shared" si="2"/>
        <v>2898674.82527</v>
      </c>
      <c r="AG13" s="114">
        <f>SUM(AG10:AG12)</f>
        <v>2466125.182</v>
      </c>
      <c r="AH13" s="64">
        <f aca="true" t="shared" si="3" ref="AH13:AX13">SUM(AH10:AH12)</f>
        <v>220450.105</v>
      </c>
      <c r="AI13" s="114">
        <f t="shared" si="3"/>
        <v>187705.822</v>
      </c>
      <c r="AJ13" s="64">
        <f t="shared" si="3"/>
        <v>1979448.71235</v>
      </c>
      <c r="AK13" s="114">
        <f>SUM(AK10:AK12)</f>
        <v>0</v>
      </c>
      <c r="AL13" s="64">
        <f t="shared" si="3"/>
        <v>2845883.1550000003</v>
      </c>
      <c r="AM13" s="114">
        <f>SUM(AM10:AM12)</f>
        <v>3842896.583</v>
      </c>
      <c r="AN13" s="64">
        <f t="shared" si="3"/>
        <v>52310.754</v>
      </c>
      <c r="AO13" s="114">
        <f>SUM(AO10:AO12)</f>
        <v>60201.751</v>
      </c>
      <c r="AP13" s="64">
        <f t="shared" si="3"/>
        <v>374238.20239999995</v>
      </c>
      <c r="AQ13" s="114">
        <f>SUM(AQ10:AQ12)</f>
        <v>368570.339</v>
      </c>
      <c r="AR13" s="64">
        <f t="shared" si="3"/>
        <v>63835.481</v>
      </c>
      <c r="AS13" s="114">
        <f>SUM(AS10:AS12)</f>
        <v>79491.27299999999</v>
      </c>
      <c r="AT13" s="64">
        <f t="shared" si="3"/>
        <v>117511.98885</v>
      </c>
      <c r="AU13" s="114">
        <f>SUM(AU10:AU12)</f>
        <v>130894</v>
      </c>
      <c r="AV13" s="64">
        <f t="shared" si="3"/>
        <v>195466.63499999998</v>
      </c>
      <c r="AW13" s="114">
        <f>SUM(AW10:AW12)</f>
        <v>0</v>
      </c>
      <c r="AX13" s="64">
        <f t="shared" si="3"/>
        <v>499177.138</v>
      </c>
      <c r="AY13" s="114">
        <f>SUM(AY10:AY12)</f>
        <v>602167.642</v>
      </c>
      <c r="AZ13" s="64">
        <f>SUM(AZ10:AZ12)</f>
        <v>186900.4028</v>
      </c>
      <c r="BA13" s="114">
        <f>SUM(BA10:BA12)</f>
        <v>182113.40899999999</v>
      </c>
      <c r="BB13" s="64">
        <f>SUM(BB10:BB12)</f>
        <v>70819.708</v>
      </c>
      <c r="BC13" s="114">
        <f>SUM(BC10:BC12)</f>
        <v>80560.874</v>
      </c>
      <c r="BD13" s="64">
        <f aca="true" t="shared" si="4" ref="BD13:BK13">SUM(BD10:BD12)</f>
        <v>0</v>
      </c>
      <c r="BE13" s="114">
        <f t="shared" si="4"/>
        <v>3434127.502</v>
      </c>
      <c r="BF13" s="64">
        <f t="shared" si="4"/>
        <v>0</v>
      </c>
      <c r="BG13" s="114">
        <f t="shared" si="4"/>
        <v>221540.73099999997</v>
      </c>
      <c r="BH13" s="64">
        <f t="shared" si="4"/>
        <v>0</v>
      </c>
      <c r="BI13" s="114">
        <f t="shared" si="4"/>
        <v>1332998.511</v>
      </c>
      <c r="BJ13" s="64">
        <f t="shared" si="4"/>
        <v>44265319.17699999</v>
      </c>
      <c r="BK13" s="114">
        <f t="shared" si="4"/>
        <v>48968337.133</v>
      </c>
      <c r="BL13" s="64">
        <f aca="true" t="shared" si="5" ref="BL13:BQ13">SUM(BL10:BL12)</f>
        <v>15569205</v>
      </c>
      <c r="BM13" s="114">
        <f t="shared" si="5"/>
        <v>14982812</v>
      </c>
      <c r="BN13" s="64">
        <f t="shared" si="5"/>
        <v>0</v>
      </c>
      <c r="BO13" s="114">
        <f t="shared" si="5"/>
        <v>994793.3470000001</v>
      </c>
      <c r="BP13" s="64">
        <f t="shared" si="5"/>
        <v>0</v>
      </c>
      <c r="BQ13" s="114">
        <f t="shared" si="5"/>
        <v>1477638.8420000002</v>
      </c>
      <c r="BR13" s="64">
        <f aca="true" t="shared" si="6" ref="BR13:BW13">SUM(BR10:BR12)</f>
        <v>519539.89499999996</v>
      </c>
      <c r="BS13" s="114">
        <f t="shared" si="6"/>
        <v>721284.089</v>
      </c>
      <c r="BT13" s="64">
        <f t="shared" si="6"/>
        <v>217018</v>
      </c>
      <c r="BU13" s="114">
        <f t="shared" si="6"/>
        <v>272202.22</v>
      </c>
      <c r="BV13" s="64">
        <f t="shared" si="6"/>
        <v>0</v>
      </c>
      <c r="BW13" s="114">
        <f t="shared" si="6"/>
        <v>804210.462</v>
      </c>
      <c r="BX13" s="64">
        <f>SUM(BX10:BX12)</f>
        <v>0</v>
      </c>
      <c r="BY13" s="114">
        <f>SUM(BY10:BY12)</f>
        <v>583146.5360000001</v>
      </c>
      <c r="BZ13" s="64">
        <f aca="true" t="shared" si="7" ref="BZ13:CE13">SUM(BZ10:BZ12)</f>
        <v>424739.735</v>
      </c>
      <c r="CA13" s="114">
        <f t="shared" si="7"/>
        <v>543337.7779999999</v>
      </c>
      <c r="CB13" s="64">
        <f t="shared" si="7"/>
        <v>303998.284</v>
      </c>
      <c r="CC13" s="114">
        <f t="shared" si="7"/>
        <v>320831.755</v>
      </c>
      <c r="CD13" s="64">
        <f t="shared" si="7"/>
        <v>0</v>
      </c>
      <c r="CE13" s="114">
        <f t="shared" si="7"/>
        <v>84798</v>
      </c>
      <c r="CF13" s="64">
        <f aca="true" t="shared" si="8" ref="CF13:CS13">SUM(CF10:CF12)</f>
        <v>0</v>
      </c>
      <c r="CG13" s="114">
        <f t="shared" si="8"/>
        <v>195486.046</v>
      </c>
      <c r="CH13" s="64">
        <f t="shared" si="8"/>
        <v>0</v>
      </c>
      <c r="CI13" s="114">
        <f t="shared" si="8"/>
        <v>76583.098</v>
      </c>
      <c r="CJ13" s="64">
        <f t="shared" si="8"/>
        <v>0</v>
      </c>
      <c r="CK13" s="114">
        <f t="shared" si="8"/>
        <v>160684</v>
      </c>
      <c r="CL13" s="64">
        <f t="shared" si="8"/>
        <v>14260.078999999998</v>
      </c>
      <c r="CM13" s="114">
        <f t="shared" si="8"/>
        <v>17875.818999999996</v>
      </c>
      <c r="CN13" s="64">
        <f t="shared" si="8"/>
        <v>0</v>
      </c>
      <c r="CO13" s="114">
        <f t="shared" si="8"/>
        <v>481475.22399999993</v>
      </c>
      <c r="CP13" s="64">
        <f t="shared" si="8"/>
        <v>0</v>
      </c>
      <c r="CQ13" s="114">
        <f t="shared" si="8"/>
        <v>599434.6769999999</v>
      </c>
      <c r="CR13" s="64">
        <f t="shared" si="8"/>
        <v>724456.86</v>
      </c>
      <c r="CS13" s="114">
        <f t="shared" si="8"/>
        <v>996024.0619999999</v>
      </c>
      <c r="CT13" s="64">
        <f aca="true" t="shared" si="9" ref="CT13:DA13">SUM(CT10:CT12)</f>
        <v>301277.74799999996</v>
      </c>
      <c r="CU13" s="114">
        <f t="shared" si="9"/>
        <v>305226.942</v>
      </c>
      <c r="CV13" s="64">
        <f t="shared" si="9"/>
        <v>0</v>
      </c>
      <c r="CW13" s="114">
        <f t="shared" si="9"/>
        <v>245261</v>
      </c>
      <c r="CX13" s="64">
        <f t="shared" si="9"/>
        <v>0</v>
      </c>
      <c r="CY13" s="114">
        <f t="shared" si="9"/>
        <v>135641.245</v>
      </c>
      <c r="CZ13" s="64">
        <f t="shared" si="9"/>
        <v>22274.279000000002</v>
      </c>
      <c r="DA13" s="114">
        <f t="shared" si="9"/>
        <v>32192.476</v>
      </c>
      <c r="DB13" s="64">
        <f aca="true" t="shared" si="10" ref="DB13:DG13">SUM(DB10:DB12)</f>
        <v>327919.159</v>
      </c>
      <c r="DC13" s="114">
        <f t="shared" si="10"/>
        <v>539626.399</v>
      </c>
      <c r="DD13" s="64">
        <f t="shared" si="10"/>
        <v>0</v>
      </c>
      <c r="DE13" s="64">
        <f t="shared" si="10"/>
        <v>791689.469</v>
      </c>
      <c r="DF13" s="64">
        <f t="shared" si="10"/>
        <v>0</v>
      </c>
      <c r="DG13" s="64">
        <f t="shared" si="10"/>
        <v>143642.75900000002</v>
      </c>
      <c r="DH13" s="64">
        <f>SUM(DH10:DH12)</f>
        <v>0</v>
      </c>
      <c r="DI13" s="64">
        <f>SUM(DI10:DI12)</f>
        <v>2360</v>
      </c>
      <c r="DJ13" s="64">
        <f>SUM(DJ10:DJ12)</f>
        <v>0</v>
      </c>
      <c r="DK13" s="64">
        <f>SUM(DK10:DK12)</f>
        <v>90722.815</v>
      </c>
    </row>
    <row r="14" spans="1:115" ht="12.75">
      <c r="A14" s="108" t="s">
        <v>27</v>
      </c>
      <c r="B14" s="64"/>
      <c r="C14" s="114"/>
      <c r="D14" s="64"/>
      <c r="E14" s="117"/>
      <c r="F14" s="64"/>
      <c r="G14" s="114"/>
      <c r="H14" s="64"/>
      <c r="I14" s="117"/>
      <c r="J14" s="64"/>
      <c r="K14" s="114"/>
      <c r="L14" s="64"/>
      <c r="M14" s="114"/>
      <c r="N14" s="64"/>
      <c r="O14" s="114"/>
      <c r="P14" s="64"/>
      <c r="Q14" s="114"/>
      <c r="R14" s="64"/>
      <c r="S14" s="114"/>
      <c r="T14" s="64"/>
      <c r="U14" s="114"/>
      <c r="V14" s="64"/>
      <c r="W14" s="114"/>
      <c r="X14" s="64"/>
      <c r="Y14" s="114"/>
      <c r="Z14" s="64"/>
      <c r="AA14" s="114"/>
      <c r="AB14" s="64"/>
      <c r="AC14" s="114"/>
      <c r="AD14" s="64"/>
      <c r="AE14" s="114"/>
      <c r="AF14" s="64"/>
      <c r="AG14" s="114"/>
      <c r="AH14" s="64"/>
      <c r="AI14" s="114"/>
      <c r="AJ14" s="64"/>
      <c r="AK14" s="114"/>
      <c r="AL14" s="64"/>
      <c r="AM14" s="114"/>
      <c r="AN14" s="64"/>
      <c r="AO14" s="114"/>
      <c r="AP14" s="64"/>
      <c r="AQ14" s="114"/>
      <c r="AR14" s="64"/>
      <c r="AS14" s="114"/>
      <c r="AT14" s="64"/>
      <c r="AU14" s="114"/>
      <c r="AV14" s="64"/>
      <c r="AW14" s="114"/>
      <c r="AX14" s="64"/>
      <c r="AY14" s="114"/>
      <c r="AZ14" s="64"/>
      <c r="BA14" s="114"/>
      <c r="BB14" s="64"/>
      <c r="BC14" s="114"/>
      <c r="BD14" s="64"/>
      <c r="BE14" s="114"/>
      <c r="BF14" s="64"/>
      <c r="BG14" s="114"/>
      <c r="BH14" s="64"/>
      <c r="BI14" s="114"/>
      <c r="BJ14" s="64"/>
      <c r="BK14" s="114"/>
      <c r="BL14" s="64"/>
      <c r="BM14" s="114"/>
      <c r="BN14" s="64"/>
      <c r="BO14" s="114"/>
      <c r="BP14" s="64"/>
      <c r="BQ14" s="114"/>
      <c r="BR14" s="64"/>
      <c r="BS14" s="114"/>
      <c r="BT14" s="64"/>
      <c r="BU14" s="114"/>
      <c r="BV14" s="64"/>
      <c r="BW14" s="114"/>
      <c r="BX14" s="64"/>
      <c r="BY14" s="114"/>
      <c r="BZ14" s="64"/>
      <c r="CA14" s="114"/>
      <c r="CB14" s="64"/>
      <c r="CC14" s="114"/>
      <c r="CD14" s="64"/>
      <c r="CE14" s="114"/>
      <c r="CF14" s="64"/>
      <c r="CG14" s="114"/>
      <c r="CH14" s="64"/>
      <c r="CI14" s="114"/>
      <c r="CJ14" s="64"/>
      <c r="CK14" s="114"/>
      <c r="CL14" s="64"/>
      <c r="CM14" s="114"/>
      <c r="CN14" s="64"/>
      <c r="CO14" s="114"/>
      <c r="CP14" s="64"/>
      <c r="CQ14" s="114"/>
      <c r="CR14" s="64"/>
      <c r="CS14" s="114"/>
      <c r="CT14" s="64"/>
      <c r="CU14" s="114"/>
      <c r="CV14" s="64"/>
      <c r="CW14" s="114"/>
      <c r="CX14" s="63"/>
      <c r="CY14" s="113"/>
      <c r="CZ14" s="63"/>
      <c r="DA14" s="113"/>
      <c r="DB14" s="64"/>
      <c r="DC14" s="114"/>
      <c r="DD14" s="63"/>
      <c r="DE14" s="63"/>
      <c r="DF14" s="63"/>
      <c r="DG14" s="63"/>
      <c r="DH14" s="63"/>
      <c r="DI14" s="63"/>
      <c r="DJ14" s="63"/>
      <c r="DK14" s="63"/>
    </row>
    <row r="15" spans="1:115" ht="12.75">
      <c r="A15" s="109" t="s">
        <v>28</v>
      </c>
      <c r="B15" s="63">
        <f aca="true" t="shared" si="11" ref="B15:C17">+D15+F15+H15+J15+L15+N15+P15+R15+T15+V15+X15+Z15+AB15+AD15+AF15+AH15+AJ15+AL15+AN15+AP15+AR15+AT15+AV15+AX15+AZ15+BB15+BD15+BF15+BH15+BJ15+BL15+BN15+BP15+BR15+BT15+BV15+BX15+BZ15+CB15+CD15+CF15+CH15+CJ15+CL15+CN15+CP15+CR15+CT15+CV15+CX15+CZ15+DB15+DD15+DF15+DH15+DJ15</f>
        <v>41232312.106180005</v>
      </c>
      <c r="C15" s="113">
        <f t="shared" si="11"/>
        <v>47047352.79599999</v>
      </c>
      <c r="D15" s="63">
        <v>257102.736</v>
      </c>
      <c r="E15" s="118">
        <v>470494.865</v>
      </c>
      <c r="F15" s="63">
        <v>20692.503</v>
      </c>
      <c r="G15" s="113">
        <v>10803.83</v>
      </c>
      <c r="H15" s="63">
        <v>133532.464</v>
      </c>
      <c r="I15" s="118">
        <v>150108.858</v>
      </c>
      <c r="J15" s="63">
        <v>2763735.859</v>
      </c>
      <c r="K15" s="113">
        <v>2882818.411</v>
      </c>
      <c r="L15" s="63">
        <v>352125.353</v>
      </c>
      <c r="M15" s="113">
        <v>773059.186</v>
      </c>
      <c r="N15" s="63">
        <v>114156.324</v>
      </c>
      <c r="O15" s="113">
        <v>0</v>
      </c>
      <c r="P15" s="63">
        <v>105971.4575</v>
      </c>
      <c r="Q15" s="113">
        <v>109721.17</v>
      </c>
      <c r="R15" s="63">
        <v>414857.736</v>
      </c>
      <c r="S15" s="113">
        <v>155137.886</v>
      </c>
      <c r="T15" s="63">
        <v>32</v>
      </c>
      <c r="U15" s="113">
        <v>18.56</v>
      </c>
      <c r="V15" s="63">
        <v>290364.188</v>
      </c>
      <c r="W15" s="113">
        <v>459617.239</v>
      </c>
      <c r="X15" s="63">
        <v>68169.09255</v>
      </c>
      <c r="Y15" s="113">
        <v>65058.495</v>
      </c>
      <c r="Z15" s="63">
        <v>34878.144</v>
      </c>
      <c r="AA15" s="113">
        <v>34011.253</v>
      </c>
      <c r="AB15" s="63">
        <v>149561</v>
      </c>
      <c r="AC15" s="113">
        <v>130365</v>
      </c>
      <c r="AD15" s="63">
        <v>22912.974</v>
      </c>
      <c r="AE15" s="113">
        <v>23969.338</v>
      </c>
      <c r="AF15" s="63">
        <v>364198.38313</v>
      </c>
      <c r="AG15" s="113">
        <v>240905.419</v>
      </c>
      <c r="AH15" s="63">
        <v>96026.822</v>
      </c>
      <c r="AI15" s="113">
        <v>106887.508</v>
      </c>
      <c r="AJ15" s="63">
        <v>1032467.773</v>
      </c>
      <c r="AK15" s="113">
        <v>0</v>
      </c>
      <c r="AL15" s="63">
        <v>1433663.236</v>
      </c>
      <c r="AM15" s="113">
        <v>2450234.79</v>
      </c>
      <c r="AN15" s="63">
        <v>7407.288</v>
      </c>
      <c r="AO15" s="113">
        <v>4827.288</v>
      </c>
      <c r="AP15" s="63">
        <v>-205.595</v>
      </c>
      <c r="AQ15" s="113">
        <v>1390.039</v>
      </c>
      <c r="AR15" s="63">
        <v>23341.577</v>
      </c>
      <c r="AS15" s="113">
        <v>34796.646</v>
      </c>
      <c r="AT15" s="63">
        <v>3987.74</v>
      </c>
      <c r="AU15" s="113">
        <v>39793</v>
      </c>
      <c r="AV15" s="63">
        <f>32070.406+2072.749+3010.882</f>
        <v>37154.037</v>
      </c>
      <c r="AW15" s="113">
        <v>0</v>
      </c>
      <c r="AX15" s="63">
        <v>16986.489</v>
      </c>
      <c r="AY15" s="113">
        <v>80941.647</v>
      </c>
      <c r="AZ15" s="63">
        <f>131395.395+465+2466.153</f>
        <v>134326.54799999998</v>
      </c>
      <c r="BA15" s="113">
        <v>252544.826</v>
      </c>
      <c r="BB15" s="63">
        <v>2068.313</v>
      </c>
      <c r="BC15" s="113">
        <v>5701.57</v>
      </c>
      <c r="BD15" s="63">
        <v>0</v>
      </c>
      <c r="BE15" s="113">
        <v>967288.34</v>
      </c>
      <c r="BF15" s="63">
        <v>0</v>
      </c>
      <c r="BG15" s="113">
        <v>71263.714</v>
      </c>
      <c r="BH15" s="63">
        <v>0</v>
      </c>
      <c r="BI15" s="113">
        <v>500418.037</v>
      </c>
      <c r="BJ15" s="63">
        <v>31779240.848</v>
      </c>
      <c r="BK15" s="113">
        <v>33973803.931</v>
      </c>
      <c r="BL15" s="63">
        <v>875920</v>
      </c>
      <c r="BM15" s="113">
        <v>633158</v>
      </c>
      <c r="BN15" s="63">
        <v>0</v>
      </c>
      <c r="BO15" s="113">
        <v>173218.858</v>
      </c>
      <c r="BP15" s="63">
        <v>0</v>
      </c>
      <c r="BQ15" s="113">
        <v>483608.106</v>
      </c>
      <c r="BR15" s="63">
        <v>133366.994</v>
      </c>
      <c r="BS15" s="113">
        <v>142898.535</v>
      </c>
      <c r="BT15" s="63">
        <v>73627</v>
      </c>
      <c r="BU15" s="113">
        <v>98414</v>
      </c>
      <c r="BV15" s="63">
        <v>0</v>
      </c>
      <c r="BW15" s="113">
        <v>297259.332</v>
      </c>
      <c r="BX15" s="63">
        <v>0</v>
      </c>
      <c r="BY15" s="113">
        <v>81890.648</v>
      </c>
      <c r="BZ15" s="63">
        <v>161138.749</v>
      </c>
      <c r="CA15" s="113">
        <v>240957.992</v>
      </c>
      <c r="CB15" s="63">
        <v>15134.99</v>
      </c>
      <c r="CC15" s="113">
        <v>16254.084</v>
      </c>
      <c r="CD15" s="63">
        <v>0</v>
      </c>
      <c r="CE15" s="113">
        <v>6626</v>
      </c>
      <c r="CF15" s="63">
        <v>0</v>
      </c>
      <c r="CG15" s="113">
        <v>28129.412</v>
      </c>
      <c r="CH15" s="63">
        <v>0</v>
      </c>
      <c r="CI15" s="113">
        <v>14872.234</v>
      </c>
      <c r="CJ15" s="63">
        <v>0</v>
      </c>
      <c r="CK15" s="113">
        <v>5991</v>
      </c>
      <c r="CL15" s="63">
        <v>3232.835</v>
      </c>
      <c r="CM15" s="113">
        <v>4314.548</v>
      </c>
      <c r="CN15" s="63">
        <v>0</v>
      </c>
      <c r="CO15" s="113">
        <f>28813.65+8968.992+19363.582</f>
        <v>57146.224</v>
      </c>
      <c r="CP15" s="63">
        <v>0</v>
      </c>
      <c r="CQ15" s="113">
        <v>189031.053</v>
      </c>
      <c r="CR15" s="63">
        <v>239131.465</v>
      </c>
      <c r="CS15" s="113">
        <v>93735.171</v>
      </c>
      <c r="CT15" s="63">
        <v>30783</v>
      </c>
      <c r="CU15" s="113">
        <v>18659.78</v>
      </c>
      <c r="CV15" s="63">
        <v>0</v>
      </c>
      <c r="CW15" s="113">
        <v>9094</v>
      </c>
      <c r="CX15" s="63">
        <v>0</v>
      </c>
      <c r="CY15" s="113">
        <v>56043.399</v>
      </c>
      <c r="CZ15" s="63">
        <v>8413.331</v>
      </c>
      <c r="DA15" s="113">
        <v>8605.359</v>
      </c>
      <c r="DB15" s="63">
        <v>32808.452</v>
      </c>
      <c r="DC15" s="113">
        <v>123671.08</v>
      </c>
      <c r="DD15" s="63">
        <v>0</v>
      </c>
      <c r="DE15" s="63">
        <v>247011.993</v>
      </c>
      <c r="DF15" s="63">
        <v>0</v>
      </c>
      <c r="DG15" s="63">
        <v>17955.342</v>
      </c>
      <c r="DH15" s="63">
        <v>0</v>
      </c>
      <c r="DI15" s="63">
        <v>382.8</v>
      </c>
      <c r="DJ15" s="63">
        <v>0</v>
      </c>
      <c r="DK15" s="63">
        <v>2443</v>
      </c>
    </row>
    <row r="16" spans="1:115" ht="12.75">
      <c r="A16" s="61" t="s">
        <v>29</v>
      </c>
      <c r="B16" s="63">
        <f t="shared" si="11"/>
        <v>9465149.510519998</v>
      </c>
      <c r="C16" s="113">
        <f t="shared" si="11"/>
        <v>9777702.492</v>
      </c>
      <c r="D16" s="63">
        <v>747603.27</v>
      </c>
      <c r="E16" s="118">
        <v>647603.27</v>
      </c>
      <c r="F16" s="63">
        <v>0</v>
      </c>
      <c r="G16" s="113">
        <v>0</v>
      </c>
      <c r="H16" s="63">
        <v>0</v>
      </c>
      <c r="I16" s="118">
        <v>0</v>
      </c>
      <c r="J16" s="63">
        <v>666666.667</v>
      </c>
      <c r="K16" s="113">
        <v>1025000</v>
      </c>
      <c r="L16" s="63">
        <v>827331.019</v>
      </c>
      <c r="M16" s="113">
        <v>655269.933</v>
      </c>
      <c r="N16" s="63">
        <v>0</v>
      </c>
      <c r="O16" s="113">
        <v>68924.364</v>
      </c>
      <c r="P16" s="63">
        <v>0</v>
      </c>
      <c r="Q16" s="113">
        <v>0</v>
      </c>
      <c r="R16" s="63">
        <v>50413.518</v>
      </c>
      <c r="S16" s="113">
        <v>0</v>
      </c>
      <c r="T16" s="63">
        <v>0</v>
      </c>
      <c r="U16" s="113">
        <v>0</v>
      </c>
      <c r="V16" s="63">
        <v>43.434</v>
      </c>
      <c r="W16" s="113">
        <v>17750.268</v>
      </c>
      <c r="X16" s="63">
        <v>0</v>
      </c>
      <c r="Y16" s="113">
        <v>0</v>
      </c>
      <c r="Z16" s="63">
        <v>0</v>
      </c>
      <c r="AA16" s="113">
        <v>0</v>
      </c>
      <c r="AB16" s="63">
        <v>29296</v>
      </c>
      <c r="AC16" s="113">
        <v>60450</v>
      </c>
      <c r="AD16" s="63">
        <v>0</v>
      </c>
      <c r="AE16" s="113">
        <v>0</v>
      </c>
      <c r="AF16" s="63">
        <v>848203.04152</v>
      </c>
      <c r="AG16" s="113">
        <v>543416.008</v>
      </c>
      <c r="AH16" s="63">
        <v>50275.478</v>
      </c>
      <c r="AI16" s="113">
        <v>43666.982</v>
      </c>
      <c r="AJ16" s="63">
        <v>0</v>
      </c>
      <c r="AK16" s="113">
        <v>0</v>
      </c>
      <c r="AL16" s="63">
        <v>0</v>
      </c>
      <c r="AM16" s="113">
        <v>0</v>
      </c>
      <c r="AN16" s="63">
        <v>0</v>
      </c>
      <c r="AO16" s="113">
        <v>0</v>
      </c>
      <c r="AP16" s="63">
        <v>1939.497</v>
      </c>
      <c r="AQ16" s="113">
        <v>1939.497</v>
      </c>
      <c r="AR16" s="63">
        <v>0</v>
      </c>
      <c r="AS16" s="113">
        <v>0</v>
      </c>
      <c r="AT16" s="63">
        <v>0</v>
      </c>
      <c r="AU16" s="113">
        <v>0</v>
      </c>
      <c r="AV16" s="63">
        <v>0</v>
      </c>
      <c r="AW16" s="113">
        <v>0</v>
      </c>
      <c r="AX16" s="63">
        <v>0</v>
      </c>
      <c r="AY16" s="113">
        <v>0</v>
      </c>
      <c r="AZ16" s="63">
        <v>0</v>
      </c>
      <c r="BA16" s="113">
        <f>1620+6045.048</f>
        <v>7665.048</v>
      </c>
      <c r="BB16" s="63">
        <v>44128.251</v>
      </c>
      <c r="BC16" s="113">
        <v>44670.762</v>
      </c>
      <c r="BD16" s="63">
        <v>0</v>
      </c>
      <c r="BE16" s="113">
        <v>741666.777</v>
      </c>
      <c r="BF16" s="63">
        <v>0</v>
      </c>
      <c r="BG16" s="113">
        <v>0</v>
      </c>
      <c r="BH16" s="63">
        <v>0</v>
      </c>
      <c r="BI16" s="113">
        <v>146383.097</v>
      </c>
      <c r="BJ16" s="63">
        <v>1700077.68</v>
      </c>
      <c r="BK16" s="113">
        <v>1351655.406</v>
      </c>
      <c r="BL16" s="63">
        <v>4487180</v>
      </c>
      <c r="BM16" s="113">
        <v>4088460</v>
      </c>
      <c r="BN16" s="63">
        <v>0</v>
      </c>
      <c r="BO16" s="113">
        <v>0</v>
      </c>
      <c r="BP16" s="63">
        <v>0</v>
      </c>
      <c r="BQ16" s="113">
        <v>100000</v>
      </c>
      <c r="BR16" s="63">
        <v>11991.655</v>
      </c>
      <c r="BS16" s="113">
        <v>194586.08</v>
      </c>
      <c r="BT16" s="63">
        <v>0</v>
      </c>
      <c r="BU16" s="113">
        <v>0</v>
      </c>
      <c r="BV16" s="63">
        <v>0</v>
      </c>
      <c r="BW16" s="113">
        <v>0</v>
      </c>
      <c r="BX16" s="63">
        <v>0</v>
      </c>
      <c r="BY16" s="113">
        <v>0</v>
      </c>
      <c r="BZ16" s="63">
        <v>0</v>
      </c>
      <c r="CA16" s="113">
        <v>0</v>
      </c>
      <c r="CB16" s="63">
        <v>0</v>
      </c>
      <c r="CC16" s="113">
        <v>0</v>
      </c>
      <c r="CD16" s="63">
        <v>0</v>
      </c>
      <c r="CE16" s="113">
        <v>28595</v>
      </c>
      <c r="CF16" s="63">
        <v>0</v>
      </c>
      <c r="CG16" s="113">
        <v>0</v>
      </c>
      <c r="CH16" s="63">
        <v>0</v>
      </c>
      <c r="CI16" s="113">
        <v>0</v>
      </c>
      <c r="CJ16" s="63">
        <v>0</v>
      </c>
      <c r="CK16" s="113">
        <v>0</v>
      </c>
      <c r="CL16" s="63">
        <v>0</v>
      </c>
      <c r="CM16" s="113">
        <v>0</v>
      </c>
      <c r="CN16" s="63">
        <v>0</v>
      </c>
      <c r="CO16" s="113">
        <v>0</v>
      </c>
      <c r="CP16" s="63">
        <v>0</v>
      </c>
      <c r="CQ16" s="113">
        <v>0</v>
      </c>
      <c r="CR16" s="63">
        <v>0</v>
      </c>
      <c r="CS16" s="113">
        <v>0</v>
      </c>
      <c r="CT16" s="63">
        <v>0</v>
      </c>
      <c r="CU16" s="113">
        <v>0</v>
      </c>
      <c r="CV16" s="63">
        <v>0</v>
      </c>
      <c r="CW16" s="113">
        <v>0</v>
      </c>
      <c r="CX16" s="63">
        <v>0</v>
      </c>
      <c r="CY16" s="113">
        <v>10000</v>
      </c>
      <c r="CZ16" s="63">
        <v>0</v>
      </c>
      <c r="DA16" s="113">
        <v>0</v>
      </c>
      <c r="DB16" s="63">
        <v>0</v>
      </c>
      <c r="DC16" s="113">
        <v>0</v>
      </c>
      <c r="DD16" s="63">
        <v>0</v>
      </c>
      <c r="DE16" s="63">
        <v>0</v>
      </c>
      <c r="DF16" s="63">
        <v>0</v>
      </c>
      <c r="DG16" s="63">
        <v>0</v>
      </c>
      <c r="DH16" s="63">
        <v>0</v>
      </c>
      <c r="DI16" s="63">
        <v>0</v>
      </c>
      <c r="DJ16" s="63">
        <v>0</v>
      </c>
      <c r="DK16" s="63">
        <v>0</v>
      </c>
    </row>
    <row r="17" spans="1:115" ht="12.75">
      <c r="A17" s="61" t="s">
        <v>30</v>
      </c>
      <c r="B17" s="63">
        <f t="shared" si="11"/>
        <v>32578.578</v>
      </c>
      <c r="C17" s="113">
        <f t="shared" si="11"/>
        <v>49467</v>
      </c>
      <c r="D17" s="63">
        <v>0</v>
      </c>
      <c r="E17" s="118">
        <v>0</v>
      </c>
      <c r="F17" s="63">
        <v>0</v>
      </c>
      <c r="G17" s="113">
        <v>0</v>
      </c>
      <c r="H17" s="63">
        <v>0</v>
      </c>
      <c r="I17" s="118">
        <v>0</v>
      </c>
      <c r="J17" s="63">
        <v>0</v>
      </c>
      <c r="K17" s="113">
        <v>0</v>
      </c>
      <c r="L17" s="63">
        <v>0</v>
      </c>
      <c r="M17" s="113">
        <v>0</v>
      </c>
      <c r="N17" s="63">
        <v>0</v>
      </c>
      <c r="O17" s="113">
        <v>0</v>
      </c>
      <c r="P17" s="63">
        <v>0</v>
      </c>
      <c r="Q17" s="113">
        <v>0</v>
      </c>
      <c r="R17" s="63">
        <v>0</v>
      </c>
      <c r="S17" s="113">
        <v>0</v>
      </c>
      <c r="T17" s="63">
        <v>0</v>
      </c>
      <c r="U17" s="113">
        <v>0</v>
      </c>
      <c r="V17" s="63">
        <v>0</v>
      </c>
      <c r="W17" s="113">
        <v>0</v>
      </c>
      <c r="X17" s="63">
        <v>0</v>
      </c>
      <c r="Y17" s="113">
        <v>0</v>
      </c>
      <c r="Z17" s="63">
        <v>0</v>
      </c>
      <c r="AA17" s="113">
        <v>0</v>
      </c>
      <c r="AB17" s="63"/>
      <c r="AC17" s="113">
        <v>0</v>
      </c>
      <c r="AD17" s="63">
        <v>0</v>
      </c>
      <c r="AE17" s="113">
        <v>0</v>
      </c>
      <c r="AF17" s="63">
        <v>0</v>
      </c>
      <c r="AG17" s="113">
        <v>0</v>
      </c>
      <c r="AH17" s="63">
        <v>0</v>
      </c>
      <c r="AI17" s="113">
        <v>0</v>
      </c>
      <c r="AJ17" s="63">
        <v>0</v>
      </c>
      <c r="AK17" s="113">
        <v>0</v>
      </c>
      <c r="AL17" s="63">
        <v>0</v>
      </c>
      <c r="AM17" s="113">
        <v>0</v>
      </c>
      <c r="AN17" s="63">
        <v>0</v>
      </c>
      <c r="AO17" s="113">
        <v>0</v>
      </c>
      <c r="AP17" s="63">
        <v>0</v>
      </c>
      <c r="AQ17" s="113">
        <v>0</v>
      </c>
      <c r="AR17" s="63">
        <v>0</v>
      </c>
      <c r="AS17" s="113">
        <v>0</v>
      </c>
      <c r="AT17" s="63">
        <v>0</v>
      </c>
      <c r="AU17" s="113">
        <v>0</v>
      </c>
      <c r="AV17" s="63">
        <v>32578.578</v>
      </c>
      <c r="AW17" s="113">
        <v>0</v>
      </c>
      <c r="AX17" s="63">
        <v>0</v>
      </c>
      <c r="AY17" s="113">
        <v>0</v>
      </c>
      <c r="AZ17" s="63">
        <v>0</v>
      </c>
      <c r="BA17" s="113">
        <v>0</v>
      </c>
      <c r="BB17" s="63">
        <v>0</v>
      </c>
      <c r="BC17" s="113">
        <v>0</v>
      </c>
      <c r="BD17" s="63">
        <v>0</v>
      </c>
      <c r="BE17" s="113">
        <v>0</v>
      </c>
      <c r="BF17" s="63">
        <v>0</v>
      </c>
      <c r="BG17" s="113">
        <v>0</v>
      </c>
      <c r="BH17" s="63">
        <v>0</v>
      </c>
      <c r="BI17" s="113">
        <v>0</v>
      </c>
      <c r="BJ17" s="63">
        <v>0</v>
      </c>
      <c r="BK17" s="113">
        <v>0</v>
      </c>
      <c r="BL17" s="63">
        <v>0</v>
      </c>
      <c r="BM17" s="113">
        <v>0</v>
      </c>
      <c r="BN17" s="63">
        <v>0</v>
      </c>
      <c r="BO17" s="113">
        <v>0</v>
      </c>
      <c r="BP17" s="63">
        <v>0</v>
      </c>
      <c r="BQ17" s="113">
        <v>0</v>
      </c>
      <c r="BR17" s="63">
        <v>0</v>
      </c>
      <c r="BS17" s="113">
        <v>0</v>
      </c>
      <c r="BT17" s="63">
        <v>0</v>
      </c>
      <c r="BU17" s="113">
        <v>0</v>
      </c>
      <c r="BV17" s="63">
        <v>0</v>
      </c>
      <c r="BW17" s="113">
        <v>0</v>
      </c>
      <c r="BX17" s="63">
        <v>0</v>
      </c>
      <c r="BY17" s="113">
        <v>0</v>
      </c>
      <c r="BZ17" s="63">
        <v>0</v>
      </c>
      <c r="CA17" s="113">
        <v>0</v>
      </c>
      <c r="CB17" s="63">
        <v>0</v>
      </c>
      <c r="CC17" s="113">
        <v>0</v>
      </c>
      <c r="CD17" s="63">
        <v>0</v>
      </c>
      <c r="CE17" s="113">
        <v>0</v>
      </c>
      <c r="CF17" s="63">
        <v>0</v>
      </c>
      <c r="CG17" s="113">
        <v>0</v>
      </c>
      <c r="CH17" s="63">
        <v>0</v>
      </c>
      <c r="CI17" s="113">
        <v>0</v>
      </c>
      <c r="CJ17" s="63">
        <v>0</v>
      </c>
      <c r="CK17" s="113">
        <v>0</v>
      </c>
      <c r="CL17" s="63">
        <v>0</v>
      </c>
      <c r="CM17" s="113">
        <v>0</v>
      </c>
      <c r="CN17" s="63">
        <v>0</v>
      </c>
      <c r="CO17" s="113">
        <v>49467</v>
      </c>
      <c r="CP17" s="63">
        <v>0</v>
      </c>
      <c r="CQ17" s="113">
        <v>0</v>
      </c>
      <c r="CR17" s="63">
        <v>0</v>
      </c>
      <c r="CS17" s="113">
        <v>0</v>
      </c>
      <c r="CT17" s="63">
        <v>0</v>
      </c>
      <c r="CU17" s="113">
        <v>0</v>
      </c>
      <c r="CV17" s="63">
        <v>0</v>
      </c>
      <c r="CW17" s="113">
        <v>0</v>
      </c>
      <c r="CX17" s="63">
        <v>0</v>
      </c>
      <c r="CY17" s="113">
        <v>0</v>
      </c>
      <c r="CZ17" s="63">
        <v>0</v>
      </c>
      <c r="DA17" s="113">
        <v>0</v>
      </c>
      <c r="DB17" s="63">
        <v>0</v>
      </c>
      <c r="DC17" s="113">
        <v>0</v>
      </c>
      <c r="DD17" s="63">
        <v>0</v>
      </c>
      <c r="DE17" s="63">
        <v>0</v>
      </c>
      <c r="DF17" s="63">
        <v>0</v>
      </c>
      <c r="DG17" s="63">
        <v>0</v>
      </c>
      <c r="DH17" s="63">
        <v>0</v>
      </c>
      <c r="DI17" s="63">
        <v>0</v>
      </c>
      <c r="DJ17" s="63">
        <v>0</v>
      </c>
      <c r="DK17" s="63">
        <v>0</v>
      </c>
    </row>
    <row r="18" spans="1:115" ht="12.75">
      <c r="A18" s="108" t="s">
        <v>31</v>
      </c>
      <c r="B18" s="64">
        <f aca="true" t="shared" si="12" ref="B18:G18">SUM(B15:B17)</f>
        <v>50730040.1947</v>
      </c>
      <c r="C18" s="114">
        <f t="shared" si="12"/>
        <v>56874522.28799999</v>
      </c>
      <c r="D18" s="64">
        <f t="shared" si="12"/>
        <v>1004706.006</v>
      </c>
      <c r="E18" s="117">
        <f t="shared" si="12"/>
        <v>1118098.135</v>
      </c>
      <c r="F18" s="64">
        <f t="shared" si="12"/>
        <v>20692.503</v>
      </c>
      <c r="G18" s="114">
        <f t="shared" si="12"/>
        <v>10803.83</v>
      </c>
      <c r="H18" s="64">
        <f aca="true" t="shared" si="13" ref="H18:AF18">SUM(H15:H17)</f>
        <v>133532.464</v>
      </c>
      <c r="I18" s="117">
        <f>SUM(I15:I17)</f>
        <v>150108.858</v>
      </c>
      <c r="J18" s="64">
        <f t="shared" si="13"/>
        <v>3430402.526</v>
      </c>
      <c r="K18" s="114">
        <f>SUM(K15:K17)</f>
        <v>3907818.411</v>
      </c>
      <c r="L18" s="64">
        <f t="shared" si="13"/>
        <v>1179456.372</v>
      </c>
      <c r="M18" s="114">
        <f>SUM(M15:M17)</f>
        <v>1428329.119</v>
      </c>
      <c r="N18" s="64">
        <f t="shared" si="13"/>
        <v>114156.324</v>
      </c>
      <c r="O18" s="114">
        <f>SUM(O15:O17)</f>
        <v>68924.364</v>
      </c>
      <c r="P18" s="64">
        <f t="shared" si="13"/>
        <v>105971.4575</v>
      </c>
      <c r="Q18" s="114">
        <f>SUM(Q15:Q17)</f>
        <v>109721.17</v>
      </c>
      <c r="R18" s="64">
        <f t="shared" si="13"/>
        <v>465271.25399999996</v>
      </c>
      <c r="S18" s="114">
        <f>SUM(S15:S17)</f>
        <v>155137.886</v>
      </c>
      <c r="T18" s="64">
        <f t="shared" si="13"/>
        <v>32</v>
      </c>
      <c r="U18" s="114">
        <f>SUM(U15:U17)</f>
        <v>18.56</v>
      </c>
      <c r="V18" s="64">
        <f t="shared" si="13"/>
        <v>290407.62200000003</v>
      </c>
      <c r="W18" s="114">
        <f>SUM(W15:W17)</f>
        <v>477367.507</v>
      </c>
      <c r="X18" s="64">
        <f t="shared" si="13"/>
        <v>68169.09255</v>
      </c>
      <c r="Y18" s="114">
        <f>SUM(Y15:Y17)</f>
        <v>65058.495</v>
      </c>
      <c r="Z18" s="64">
        <f t="shared" si="13"/>
        <v>34878.144</v>
      </c>
      <c r="AA18" s="114">
        <f>SUM(AA15:AA17)</f>
        <v>34011.253</v>
      </c>
      <c r="AB18" s="64">
        <f t="shared" si="13"/>
        <v>178857</v>
      </c>
      <c r="AC18" s="114">
        <f>SUM(AC15:AC17)</f>
        <v>190815</v>
      </c>
      <c r="AD18" s="64">
        <f t="shared" si="13"/>
        <v>22912.974</v>
      </c>
      <c r="AE18" s="114">
        <f>SUM(AE15:AE17)</f>
        <v>23969.338</v>
      </c>
      <c r="AF18" s="64">
        <f t="shared" si="13"/>
        <v>1212401.42465</v>
      </c>
      <c r="AG18" s="114">
        <f>SUM(AG15:AG17)</f>
        <v>784321.427</v>
      </c>
      <c r="AH18" s="64">
        <f aca="true" t="shared" si="14" ref="AH18:AX18">SUM(AH15:AH17)</f>
        <v>146302.3</v>
      </c>
      <c r="AI18" s="114">
        <f t="shared" si="14"/>
        <v>150554.49</v>
      </c>
      <c r="AJ18" s="64">
        <f t="shared" si="14"/>
        <v>1032467.773</v>
      </c>
      <c r="AK18" s="114">
        <f>SUM(AK15:AK17)</f>
        <v>0</v>
      </c>
      <c r="AL18" s="64">
        <f t="shared" si="14"/>
        <v>1433663.236</v>
      </c>
      <c r="AM18" s="114">
        <f>SUM(AM15:AM17)</f>
        <v>2450234.79</v>
      </c>
      <c r="AN18" s="64">
        <f t="shared" si="14"/>
        <v>7407.288</v>
      </c>
      <c r="AO18" s="114">
        <f>SUM(AO15:AO17)</f>
        <v>4827.288</v>
      </c>
      <c r="AP18" s="64">
        <f t="shared" si="14"/>
        <v>1733.902</v>
      </c>
      <c r="AQ18" s="114">
        <f>SUM(AQ15:AQ17)</f>
        <v>3329.536</v>
      </c>
      <c r="AR18" s="64">
        <f t="shared" si="14"/>
        <v>23341.577</v>
      </c>
      <c r="AS18" s="114">
        <f>SUM(AS15:AS17)</f>
        <v>34796.646</v>
      </c>
      <c r="AT18" s="64">
        <f t="shared" si="14"/>
        <v>3987.74</v>
      </c>
      <c r="AU18" s="114">
        <f>SUM(AU15:AU17)</f>
        <v>39793</v>
      </c>
      <c r="AV18" s="64">
        <f t="shared" si="14"/>
        <v>69732.61499999999</v>
      </c>
      <c r="AW18" s="114">
        <f>SUM(AW15:AW17)</f>
        <v>0</v>
      </c>
      <c r="AX18" s="64">
        <f t="shared" si="14"/>
        <v>16986.489</v>
      </c>
      <c r="AY18" s="114">
        <f>SUM(AY15:AY17)</f>
        <v>80941.647</v>
      </c>
      <c r="AZ18" s="64">
        <f>SUM(AZ15:AZ17)</f>
        <v>134326.54799999998</v>
      </c>
      <c r="BA18" s="114">
        <f>SUM(BA15:BA17)</f>
        <v>260209.874</v>
      </c>
      <c r="BB18" s="64">
        <f>SUM(BB15:BB17)</f>
        <v>46196.564</v>
      </c>
      <c r="BC18" s="114">
        <f>SUM(BC15:BC17)</f>
        <v>50372.332</v>
      </c>
      <c r="BD18" s="64">
        <f aca="true" t="shared" si="15" ref="BD18:BK18">SUM(BD15:BD17)</f>
        <v>0</v>
      </c>
      <c r="BE18" s="114">
        <f t="shared" si="15"/>
        <v>1708955.117</v>
      </c>
      <c r="BF18" s="64">
        <f t="shared" si="15"/>
        <v>0</v>
      </c>
      <c r="BG18" s="114">
        <f t="shared" si="15"/>
        <v>71263.714</v>
      </c>
      <c r="BH18" s="64">
        <f t="shared" si="15"/>
        <v>0</v>
      </c>
      <c r="BI18" s="114">
        <f t="shared" si="15"/>
        <v>646801.1340000001</v>
      </c>
      <c r="BJ18" s="64">
        <f t="shared" si="15"/>
        <v>33479318.528</v>
      </c>
      <c r="BK18" s="114">
        <f t="shared" si="15"/>
        <v>35325459.337000005</v>
      </c>
      <c r="BL18" s="64">
        <f aca="true" t="shared" si="16" ref="BL18:BQ18">SUM(BL15:BL17)</f>
        <v>5363100</v>
      </c>
      <c r="BM18" s="114">
        <f t="shared" si="16"/>
        <v>4721618</v>
      </c>
      <c r="BN18" s="64">
        <f t="shared" si="16"/>
        <v>0</v>
      </c>
      <c r="BO18" s="114">
        <f t="shared" si="16"/>
        <v>173218.858</v>
      </c>
      <c r="BP18" s="64">
        <f t="shared" si="16"/>
        <v>0</v>
      </c>
      <c r="BQ18" s="114">
        <f t="shared" si="16"/>
        <v>583608.106</v>
      </c>
      <c r="BR18" s="64">
        <f aca="true" t="shared" si="17" ref="BR18:BW18">SUM(BR15:BR17)</f>
        <v>145358.649</v>
      </c>
      <c r="BS18" s="114">
        <f t="shared" si="17"/>
        <v>337484.615</v>
      </c>
      <c r="BT18" s="64">
        <f t="shared" si="17"/>
        <v>73627</v>
      </c>
      <c r="BU18" s="114">
        <f t="shared" si="17"/>
        <v>98414</v>
      </c>
      <c r="BV18" s="64">
        <f t="shared" si="17"/>
        <v>0</v>
      </c>
      <c r="BW18" s="114">
        <f t="shared" si="17"/>
        <v>297259.332</v>
      </c>
      <c r="BX18" s="64">
        <f>SUM(BX15:BX17)</f>
        <v>0</v>
      </c>
      <c r="BY18" s="114">
        <f>SUM(BY15:BY17)</f>
        <v>81890.648</v>
      </c>
      <c r="BZ18" s="64">
        <f aca="true" t="shared" si="18" ref="BZ18:CE18">SUM(BZ15:BZ17)</f>
        <v>161138.749</v>
      </c>
      <c r="CA18" s="114">
        <f t="shared" si="18"/>
        <v>240957.992</v>
      </c>
      <c r="CB18" s="64">
        <f t="shared" si="18"/>
        <v>15134.99</v>
      </c>
      <c r="CC18" s="114">
        <f t="shared" si="18"/>
        <v>16254.084</v>
      </c>
      <c r="CD18" s="64">
        <f t="shared" si="18"/>
        <v>0</v>
      </c>
      <c r="CE18" s="114">
        <f t="shared" si="18"/>
        <v>35221</v>
      </c>
      <c r="CF18" s="64">
        <f aca="true" t="shared" si="19" ref="CF18:CS18">SUM(CF15:CF17)</f>
        <v>0</v>
      </c>
      <c r="CG18" s="114">
        <f t="shared" si="19"/>
        <v>28129.412</v>
      </c>
      <c r="CH18" s="64">
        <f t="shared" si="19"/>
        <v>0</v>
      </c>
      <c r="CI18" s="114">
        <f t="shared" si="19"/>
        <v>14872.234</v>
      </c>
      <c r="CJ18" s="64">
        <f t="shared" si="19"/>
        <v>0</v>
      </c>
      <c r="CK18" s="114">
        <f t="shared" si="19"/>
        <v>5991</v>
      </c>
      <c r="CL18" s="64">
        <f t="shared" si="19"/>
        <v>3232.835</v>
      </c>
      <c r="CM18" s="114">
        <f t="shared" si="19"/>
        <v>4314.548</v>
      </c>
      <c r="CN18" s="64">
        <f t="shared" si="19"/>
        <v>0</v>
      </c>
      <c r="CO18" s="114">
        <f t="shared" si="19"/>
        <v>106613.224</v>
      </c>
      <c r="CP18" s="64">
        <f t="shared" si="19"/>
        <v>0</v>
      </c>
      <c r="CQ18" s="114">
        <f t="shared" si="19"/>
        <v>189031.053</v>
      </c>
      <c r="CR18" s="64">
        <f t="shared" si="19"/>
        <v>239131.465</v>
      </c>
      <c r="CS18" s="114">
        <f t="shared" si="19"/>
        <v>93735.171</v>
      </c>
      <c r="CT18" s="64">
        <f aca="true" t="shared" si="20" ref="CT18:DA18">SUM(CT15:CT17)</f>
        <v>30783</v>
      </c>
      <c r="CU18" s="114">
        <f t="shared" si="20"/>
        <v>18659.78</v>
      </c>
      <c r="CV18" s="64">
        <f t="shared" si="20"/>
        <v>0</v>
      </c>
      <c r="CW18" s="114">
        <f t="shared" si="20"/>
        <v>9094</v>
      </c>
      <c r="CX18" s="64">
        <f t="shared" si="20"/>
        <v>0</v>
      </c>
      <c r="CY18" s="114">
        <f t="shared" si="20"/>
        <v>66043.399</v>
      </c>
      <c r="CZ18" s="64">
        <f t="shared" si="20"/>
        <v>8413.331</v>
      </c>
      <c r="DA18" s="114">
        <f t="shared" si="20"/>
        <v>8605.359</v>
      </c>
      <c r="DB18" s="64">
        <f aca="true" t="shared" si="21" ref="DB18:DG18">SUM(DB15:DB17)</f>
        <v>32808.452</v>
      </c>
      <c r="DC18" s="114">
        <f t="shared" si="21"/>
        <v>123671.08</v>
      </c>
      <c r="DD18" s="64">
        <f t="shared" si="21"/>
        <v>0</v>
      </c>
      <c r="DE18" s="64">
        <f t="shared" si="21"/>
        <v>247011.993</v>
      </c>
      <c r="DF18" s="64">
        <f t="shared" si="21"/>
        <v>0</v>
      </c>
      <c r="DG18" s="64">
        <f t="shared" si="21"/>
        <v>17955.342</v>
      </c>
      <c r="DH18" s="64">
        <f>SUM(DH15:DH17)</f>
        <v>0</v>
      </c>
      <c r="DI18" s="64">
        <f>SUM(DI15:DI17)</f>
        <v>382.8</v>
      </c>
      <c r="DJ18" s="64">
        <f>SUM(DJ15:DJ17)</f>
        <v>0</v>
      </c>
      <c r="DK18" s="64">
        <f>SUM(DK15:DK17)</f>
        <v>2443</v>
      </c>
    </row>
    <row r="19" spans="1:115" ht="12.75">
      <c r="A19" s="108" t="s">
        <v>32</v>
      </c>
      <c r="B19" s="63"/>
      <c r="C19" s="113"/>
      <c r="D19" s="63"/>
      <c r="E19" s="118"/>
      <c r="F19" s="63"/>
      <c r="G19" s="113"/>
      <c r="H19" s="63"/>
      <c r="I19" s="118"/>
      <c r="J19" s="63"/>
      <c r="K19" s="113"/>
      <c r="L19" s="63"/>
      <c r="M19" s="113"/>
      <c r="N19" s="63"/>
      <c r="O19" s="113"/>
      <c r="P19" s="63"/>
      <c r="Q19" s="113"/>
      <c r="R19" s="63"/>
      <c r="S19" s="113"/>
      <c r="T19" s="63"/>
      <c r="U19" s="113"/>
      <c r="V19" s="63"/>
      <c r="W19" s="113"/>
      <c r="X19" s="63"/>
      <c r="Y19" s="113"/>
      <c r="Z19" s="63"/>
      <c r="AA19" s="113"/>
      <c r="AB19" s="63"/>
      <c r="AC19" s="113"/>
      <c r="AD19" s="63"/>
      <c r="AE19" s="113"/>
      <c r="AF19" s="63"/>
      <c r="AG19" s="113"/>
      <c r="AH19" s="63"/>
      <c r="AI19" s="113"/>
      <c r="AJ19" s="63"/>
      <c r="AK19" s="113"/>
      <c r="AL19" s="63"/>
      <c r="AM19" s="113"/>
      <c r="AN19" s="63"/>
      <c r="AO19" s="113"/>
      <c r="AP19" s="63"/>
      <c r="AQ19" s="113"/>
      <c r="AR19" s="63"/>
      <c r="AS19" s="113"/>
      <c r="AT19" s="63"/>
      <c r="AU19" s="113"/>
      <c r="AV19" s="63"/>
      <c r="AW19" s="113"/>
      <c r="AX19" s="63"/>
      <c r="AY19" s="113"/>
      <c r="AZ19" s="63"/>
      <c r="BA19" s="113"/>
      <c r="BB19" s="63"/>
      <c r="BC19" s="113"/>
      <c r="BD19" s="63"/>
      <c r="BE19" s="113"/>
      <c r="BF19" s="63"/>
      <c r="BG19" s="113"/>
      <c r="BH19" s="63"/>
      <c r="BI19" s="113"/>
      <c r="BJ19" s="63"/>
      <c r="BK19" s="113"/>
      <c r="BL19" s="63"/>
      <c r="BM19" s="113"/>
      <c r="BN19" s="63"/>
      <c r="BO19" s="113"/>
      <c r="BP19" s="63"/>
      <c r="BQ19" s="113"/>
      <c r="BR19" s="63"/>
      <c r="BS19" s="113"/>
      <c r="BT19" s="63"/>
      <c r="BU19" s="113"/>
      <c r="BV19" s="63"/>
      <c r="BW19" s="113"/>
      <c r="BX19" s="63"/>
      <c r="BY19" s="113"/>
      <c r="BZ19" s="63"/>
      <c r="CA19" s="113"/>
      <c r="CB19" s="63"/>
      <c r="CC19" s="113"/>
      <c r="CD19" s="63"/>
      <c r="CE19" s="113"/>
      <c r="CF19" s="63"/>
      <c r="CG19" s="113"/>
      <c r="CH19" s="63"/>
      <c r="CI19" s="113"/>
      <c r="CJ19" s="63"/>
      <c r="CK19" s="113"/>
      <c r="CL19" s="63"/>
      <c r="CM19" s="113"/>
      <c r="CN19" s="63"/>
      <c r="CO19" s="113"/>
      <c r="CP19" s="63"/>
      <c r="CQ19" s="113"/>
      <c r="CR19" s="63"/>
      <c r="CS19" s="113"/>
      <c r="CT19" s="63"/>
      <c r="CU19" s="113"/>
      <c r="CV19" s="63"/>
      <c r="CW19" s="113"/>
      <c r="CX19" s="64"/>
      <c r="CY19" s="114"/>
      <c r="CZ19" s="64"/>
      <c r="DA19" s="114"/>
      <c r="DB19" s="63"/>
      <c r="DC19" s="113"/>
      <c r="DD19" s="64"/>
      <c r="DE19" s="64"/>
      <c r="DF19" s="64"/>
      <c r="DG19" s="64"/>
      <c r="DH19" s="64"/>
      <c r="DI19" s="64"/>
      <c r="DJ19" s="64"/>
      <c r="DK19" s="64"/>
    </row>
    <row r="20" spans="1:115" ht="12.75">
      <c r="A20" s="61" t="s">
        <v>33</v>
      </c>
      <c r="B20" s="63">
        <f aca="true" t="shared" si="22" ref="B20:C23">+D20+F20+H20+J20+L20+N20+P20+R20+T20+V20+X20+Z20+AB20+AD20+AF20+AH20+AJ20+AL20+AN20+AP20+AR20+AT20+AV20+AX20+AZ20+BB20+BD20+BF20+BH20+BJ20+BL20+BN20+BP20+BR20+BT20+BV20+BX20+BZ20+CB20+CD20+CF20+CH20+CJ20+CL20+CN20+CP20+CR20+CT20+CV20+CX20+CZ20+DB20+DD20+DF20+DH20+DJ20</f>
        <v>12385228.75</v>
      </c>
      <c r="C20" s="113">
        <f t="shared" si="22"/>
        <v>14609394.319</v>
      </c>
      <c r="D20" s="63">
        <v>15000</v>
      </c>
      <c r="E20" s="118">
        <v>15000</v>
      </c>
      <c r="F20" s="63">
        <v>90300</v>
      </c>
      <c r="G20" s="113">
        <v>90300</v>
      </c>
      <c r="H20" s="63">
        <v>52000</v>
      </c>
      <c r="I20" s="118">
        <v>52000</v>
      </c>
      <c r="J20" s="63">
        <v>1000000</v>
      </c>
      <c r="K20" s="113">
        <v>1000000</v>
      </c>
      <c r="L20" s="63">
        <v>720602</v>
      </c>
      <c r="M20" s="113">
        <v>870382.004</v>
      </c>
      <c r="N20" s="63">
        <v>280000</v>
      </c>
      <c r="O20" s="113">
        <v>280000</v>
      </c>
      <c r="P20" s="63">
        <v>565000</v>
      </c>
      <c r="Q20" s="113">
        <v>565000</v>
      </c>
      <c r="R20" s="63">
        <v>510000</v>
      </c>
      <c r="S20" s="113">
        <v>510000</v>
      </c>
      <c r="T20" s="63">
        <v>95500</v>
      </c>
      <c r="U20" s="113">
        <v>95500</v>
      </c>
      <c r="V20" s="63">
        <v>229874.6</v>
      </c>
      <c r="W20" s="113">
        <v>229874.6</v>
      </c>
      <c r="X20" s="63">
        <v>246491.471</v>
      </c>
      <c r="Y20" s="113">
        <f>371892.427-65543.346</f>
        <v>306349.081</v>
      </c>
      <c r="Z20" s="63">
        <v>36000</v>
      </c>
      <c r="AA20" s="113">
        <v>36000</v>
      </c>
      <c r="AB20" s="63">
        <v>200000</v>
      </c>
      <c r="AC20" s="113">
        <v>240000</v>
      </c>
      <c r="AD20" s="63">
        <v>80000</v>
      </c>
      <c r="AE20" s="113">
        <v>80000</v>
      </c>
      <c r="AF20" s="63">
        <v>300000</v>
      </c>
      <c r="AG20" s="113">
        <v>300000</v>
      </c>
      <c r="AH20" s="63">
        <v>3000</v>
      </c>
      <c r="AI20" s="113">
        <v>3000</v>
      </c>
      <c r="AJ20" s="63">
        <v>498000</v>
      </c>
      <c r="AK20" s="113">
        <v>0</v>
      </c>
      <c r="AL20" s="63">
        <v>300000</v>
      </c>
      <c r="AM20" s="113">
        <v>300000</v>
      </c>
      <c r="AN20" s="63">
        <v>39000</v>
      </c>
      <c r="AO20" s="113">
        <v>39000</v>
      </c>
      <c r="AP20" s="63">
        <v>80000</v>
      </c>
      <c r="AQ20" s="113">
        <v>80000</v>
      </c>
      <c r="AR20" s="63">
        <v>27000</v>
      </c>
      <c r="AS20" s="113">
        <v>27000</v>
      </c>
      <c r="AT20" s="63">
        <v>108000</v>
      </c>
      <c r="AU20" s="113">
        <v>108000</v>
      </c>
      <c r="AV20" s="63">
        <v>120000</v>
      </c>
      <c r="AW20" s="113">
        <v>0</v>
      </c>
      <c r="AX20" s="63">
        <v>430000</v>
      </c>
      <c r="AY20" s="113">
        <v>400000</v>
      </c>
      <c r="AZ20" s="63">
        <v>113700</v>
      </c>
      <c r="BA20" s="113">
        <v>113700</v>
      </c>
      <c r="BB20" s="63">
        <v>10000</v>
      </c>
      <c r="BC20" s="113">
        <v>10000</v>
      </c>
      <c r="BD20" s="63">
        <v>0</v>
      </c>
      <c r="BE20" s="113">
        <v>128000</v>
      </c>
      <c r="BF20" s="63">
        <v>0</v>
      </c>
      <c r="BG20" s="113">
        <v>89103.623</v>
      </c>
      <c r="BH20" s="63">
        <v>0</v>
      </c>
      <c r="BI20" s="113">
        <v>121000</v>
      </c>
      <c r="BJ20" s="63">
        <v>2448581.365</v>
      </c>
      <c r="BK20" s="113">
        <v>2448581.365</v>
      </c>
      <c r="BL20" s="63">
        <v>2500000</v>
      </c>
      <c r="BM20" s="113">
        <v>2500000</v>
      </c>
      <c r="BN20" s="63">
        <v>0</v>
      </c>
      <c r="BO20" s="113">
        <v>80000</v>
      </c>
      <c r="BP20" s="63">
        <v>0</v>
      </c>
      <c r="BQ20" s="113">
        <v>50000</v>
      </c>
      <c r="BR20" s="63">
        <v>312800</v>
      </c>
      <c r="BS20" s="113">
        <v>312800</v>
      </c>
      <c r="BT20" s="63">
        <v>10000</v>
      </c>
      <c r="BU20" s="113">
        <v>10000</v>
      </c>
      <c r="BV20" s="63">
        <v>0</v>
      </c>
      <c r="BW20" s="113">
        <v>56000</v>
      </c>
      <c r="BX20" s="63">
        <v>0</v>
      </c>
      <c r="BY20" s="113">
        <v>66602.48</v>
      </c>
      <c r="BZ20" s="63">
        <v>142879.314</v>
      </c>
      <c r="CA20" s="113">
        <v>142879.314</v>
      </c>
      <c r="CB20" s="63">
        <v>66000</v>
      </c>
      <c r="CC20" s="113">
        <v>66000</v>
      </c>
      <c r="CD20" s="63">
        <v>0</v>
      </c>
      <c r="CE20" s="113">
        <v>50000</v>
      </c>
      <c r="CF20" s="63">
        <v>0</v>
      </c>
      <c r="CG20" s="113">
        <v>155000</v>
      </c>
      <c r="CH20" s="63">
        <v>0</v>
      </c>
      <c r="CI20" s="113">
        <v>102000</v>
      </c>
      <c r="CJ20" s="63">
        <v>0</v>
      </c>
      <c r="CK20" s="113">
        <v>160000</v>
      </c>
      <c r="CL20" s="63">
        <v>60</v>
      </c>
      <c r="CM20" s="113">
        <v>60</v>
      </c>
      <c r="CN20" s="63">
        <v>0</v>
      </c>
      <c r="CO20" s="113">
        <v>40000</v>
      </c>
      <c r="CP20" s="63">
        <v>0</v>
      </c>
      <c r="CQ20" s="113">
        <v>240000</v>
      </c>
      <c r="CR20" s="63">
        <v>330000</v>
      </c>
      <c r="CS20" s="113">
        <v>745500</v>
      </c>
      <c r="CT20" s="63">
        <v>96800</v>
      </c>
      <c r="CU20" s="113">
        <v>96800</v>
      </c>
      <c r="CV20" s="63">
        <v>0</v>
      </c>
      <c r="CW20" s="113">
        <v>236167</v>
      </c>
      <c r="CX20" s="63">
        <v>0</v>
      </c>
      <c r="CY20" s="113">
        <v>69084.678</v>
      </c>
      <c r="CZ20" s="63">
        <v>640</v>
      </c>
      <c r="DA20" s="113">
        <v>640</v>
      </c>
      <c r="DB20" s="63">
        <v>328000</v>
      </c>
      <c r="DC20" s="113">
        <v>328000</v>
      </c>
      <c r="DD20" s="63">
        <v>0</v>
      </c>
      <c r="DE20" s="63">
        <v>330000</v>
      </c>
      <c r="DF20" s="63">
        <v>0</v>
      </c>
      <c r="DG20" s="63">
        <v>150870.174</v>
      </c>
      <c r="DH20" s="63">
        <v>0</v>
      </c>
      <c r="DI20" s="63">
        <v>1200</v>
      </c>
      <c r="DJ20" s="63">
        <v>0</v>
      </c>
      <c r="DK20" s="63">
        <v>82000</v>
      </c>
    </row>
    <row r="21" spans="1:115" s="150" customFormat="1" ht="12.75">
      <c r="A21" s="148" t="s">
        <v>34</v>
      </c>
      <c r="B21" s="149">
        <f t="shared" si="22"/>
        <v>-50651.83116000003</v>
      </c>
      <c r="C21" s="116">
        <f t="shared" si="22"/>
        <v>4080844.0700000008</v>
      </c>
      <c r="D21" s="149">
        <v>49769.215</v>
      </c>
      <c r="E21" s="116">
        <v>63953.175</v>
      </c>
      <c r="F21" s="149">
        <v>-1471.603</v>
      </c>
      <c r="G21" s="116">
        <v>4118.615</v>
      </c>
      <c r="H21" s="149">
        <v>13249.862</v>
      </c>
      <c r="I21" s="116">
        <v>14586.475</v>
      </c>
      <c r="J21" s="149">
        <v>27064.557</v>
      </c>
      <c r="K21" s="116">
        <v>82585.19</v>
      </c>
      <c r="L21" s="149">
        <v>56623.555</v>
      </c>
      <c r="M21" s="116">
        <v>122663.492</v>
      </c>
      <c r="N21" s="149">
        <v>2198.963</v>
      </c>
      <c r="O21" s="116">
        <v>20913.604</v>
      </c>
      <c r="P21" s="149">
        <v>2353.09357</v>
      </c>
      <c r="Q21" s="116">
        <v>5381.47</v>
      </c>
      <c r="R21" s="149">
        <v>122083.318</v>
      </c>
      <c r="S21" s="116">
        <v>26593.586</v>
      </c>
      <c r="T21" s="149">
        <v>1842</v>
      </c>
      <c r="U21" s="116">
        <v>1635.6</v>
      </c>
      <c r="V21" s="149">
        <v>11020.906</v>
      </c>
      <c r="W21" s="116">
        <v>1956.195</v>
      </c>
      <c r="X21" s="149">
        <v>19343.33633</v>
      </c>
      <c r="Y21" s="116">
        <v>38670.64</v>
      </c>
      <c r="Z21" s="149">
        <v>13849.39809</v>
      </c>
      <c r="AA21" s="116">
        <v>23977.419</v>
      </c>
      <c r="AB21" s="149">
        <v>218681</v>
      </c>
      <c r="AC21" s="116">
        <v>144232</v>
      </c>
      <c r="AD21" s="149">
        <v>10912.071</v>
      </c>
      <c r="AE21" s="116">
        <v>10184.771</v>
      </c>
      <c r="AF21" s="149">
        <v>211116.20561</v>
      </c>
      <c r="AG21" s="116">
        <v>111427.354</v>
      </c>
      <c r="AH21" s="149">
        <v>46644.173</v>
      </c>
      <c r="AI21" s="116">
        <v>9647.699</v>
      </c>
      <c r="AJ21" s="149">
        <v>106488.391</v>
      </c>
      <c r="AK21" s="116">
        <v>0</v>
      </c>
      <c r="AL21" s="149">
        <v>202582.031</v>
      </c>
      <c r="AM21" s="116">
        <v>29370.086</v>
      </c>
      <c r="AN21" s="149">
        <v>1601.888</v>
      </c>
      <c r="AO21" s="116">
        <v>9423.897</v>
      </c>
      <c r="AP21" s="149">
        <v>8165.5834</v>
      </c>
      <c r="AQ21" s="116">
        <v>450.642</v>
      </c>
      <c r="AR21" s="149">
        <v>-17846.738</v>
      </c>
      <c r="AS21" s="116">
        <v>3623.722</v>
      </c>
      <c r="AT21" s="149">
        <v>-29271.45416</v>
      </c>
      <c r="AU21" s="116">
        <v>-22424</v>
      </c>
      <c r="AV21" s="149">
        <v>5734.02</v>
      </c>
      <c r="AW21" s="116">
        <v>0</v>
      </c>
      <c r="AX21" s="149">
        <v>34389.649</v>
      </c>
      <c r="AY21" s="116">
        <v>44607</v>
      </c>
      <c r="AZ21" s="149">
        <v>150.068</v>
      </c>
      <c r="BA21" s="116">
        <v>-15589.756</v>
      </c>
      <c r="BB21" s="149">
        <v>5948.844</v>
      </c>
      <c r="BC21" s="116">
        <v>5565.398</v>
      </c>
      <c r="BD21" s="149">
        <v>0</v>
      </c>
      <c r="BE21" s="116">
        <v>43262.072</v>
      </c>
      <c r="BF21" s="149">
        <v>0</v>
      </c>
      <c r="BG21" s="116">
        <v>37691</v>
      </c>
      <c r="BH21" s="149">
        <v>0</v>
      </c>
      <c r="BI21" s="116">
        <v>111855.811</v>
      </c>
      <c r="BJ21" s="149">
        <v>-1464402.685</v>
      </c>
      <c r="BK21" s="116">
        <v>2379686.879</v>
      </c>
      <c r="BL21" s="149">
        <v>117516</v>
      </c>
      <c r="BM21" s="116">
        <v>91654</v>
      </c>
      <c r="BN21" s="149">
        <v>0</v>
      </c>
      <c r="BO21" s="116">
        <v>10041.175</v>
      </c>
      <c r="BP21" s="149">
        <v>0</v>
      </c>
      <c r="BQ21" s="116">
        <v>196137.662</v>
      </c>
      <c r="BR21" s="149">
        <v>48678.998</v>
      </c>
      <c r="BS21" s="116">
        <v>9025.126</v>
      </c>
      <c r="BT21" s="149">
        <v>32967</v>
      </c>
      <c r="BU21" s="116">
        <v>42172.22</v>
      </c>
      <c r="BV21" s="149">
        <v>0</v>
      </c>
      <c r="BW21" s="116">
        <v>1311.134</v>
      </c>
      <c r="BX21" s="149">
        <v>0</v>
      </c>
      <c r="BY21" s="116">
        <v>79115.2</v>
      </c>
      <c r="BZ21" s="149">
        <v>0</v>
      </c>
      <c r="CA21" s="116">
        <v>38778.8</v>
      </c>
      <c r="CB21" s="149">
        <v>10883.971</v>
      </c>
      <c r="CC21" s="116">
        <v>15714.377</v>
      </c>
      <c r="CD21" s="149">
        <v>0</v>
      </c>
      <c r="CE21" s="116">
        <v>-687</v>
      </c>
      <c r="CF21" s="149">
        <v>0</v>
      </c>
      <c r="CG21" s="116">
        <v>10679.694</v>
      </c>
      <c r="CH21" s="149">
        <v>0</v>
      </c>
      <c r="CI21" s="116">
        <v>-40774.136</v>
      </c>
      <c r="CJ21" s="149">
        <v>0</v>
      </c>
      <c r="CK21" s="116">
        <v>-5307</v>
      </c>
      <c r="CL21" s="149">
        <v>4212.224</v>
      </c>
      <c r="CM21" s="116">
        <v>4959.037</v>
      </c>
      <c r="CN21" s="149">
        <v>0</v>
      </c>
      <c r="CO21" s="116">
        <v>52892.051</v>
      </c>
      <c r="CP21" s="149">
        <v>0</v>
      </c>
      <c r="CQ21" s="116">
        <v>78620.042</v>
      </c>
      <c r="CR21" s="149">
        <v>17581.538</v>
      </c>
      <c r="CS21" s="116">
        <v>1463.496</v>
      </c>
      <c r="CT21" s="149">
        <v>36650.219</v>
      </c>
      <c r="CU21" s="116">
        <v>16072.413</v>
      </c>
      <c r="CV21" s="149">
        <v>0</v>
      </c>
      <c r="CW21" s="116">
        <v>0</v>
      </c>
      <c r="CX21" s="149">
        <v>0</v>
      </c>
      <c r="CY21" s="116">
        <v>513.168</v>
      </c>
      <c r="CZ21" s="149">
        <v>550.36</v>
      </c>
      <c r="DA21" s="116">
        <v>594.521</v>
      </c>
      <c r="DB21" s="149">
        <v>21488.211</v>
      </c>
      <c r="DC21" s="116">
        <v>120844.61</v>
      </c>
      <c r="DD21" s="149">
        <v>0</v>
      </c>
      <c r="DE21" s="149">
        <v>54511.139</v>
      </c>
      <c r="DF21" s="149">
        <v>0</v>
      </c>
      <c r="DG21" s="149">
        <v>-9684.375</v>
      </c>
      <c r="DH21" s="149">
        <v>0</v>
      </c>
      <c r="DI21" s="149">
        <v>518.58</v>
      </c>
      <c r="DJ21" s="149">
        <v>0</v>
      </c>
      <c r="DK21" s="149">
        <v>1628.1</v>
      </c>
    </row>
    <row r="22" spans="1:115" ht="12.75">
      <c r="A22" s="61" t="s">
        <v>35</v>
      </c>
      <c r="B22" s="63">
        <f t="shared" si="22"/>
        <v>2275831.682989999</v>
      </c>
      <c r="C22" s="113">
        <f t="shared" si="22"/>
        <v>2860945.131999999</v>
      </c>
      <c r="D22" s="63">
        <v>-609822.859</v>
      </c>
      <c r="E22" s="118">
        <v>-580285.448</v>
      </c>
      <c r="F22" s="63">
        <v>-1134.576</v>
      </c>
      <c r="G22" s="113">
        <v>-2606.18</v>
      </c>
      <c r="H22" s="63">
        <v>50638.026</v>
      </c>
      <c r="I22" s="118">
        <v>64369.888</v>
      </c>
      <c r="J22" s="63">
        <v>60429.73</v>
      </c>
      <c r="K22" s="113">
        <v>60429.73</v>
      </c>
      <c r="L22" s="63">
        <v>0</v>
      </c>
      <c r="M22" s="113">
        <v>0</v>
      </c>
      <c r="N22" s="63">
        <v>0</v>
      </c>
      <c r="O22" s="113">
        <v>0</v>
      </c>
      <c r="P22" s="63">
        <v>-206071.52637</v>
      </c>
      <c r="Q22" s="113">
        <v>-203718.432</v>
      </c>
      <c r="R22" s="63">
        <v>220129.434</v>
      </c>
      <c r="S22" s="113">
        <v>330004.42</v>
      </c>
      <c r="T22" s="63">
        <f>740-48681.492</f>
        <v>-47941.492</v>
      </c>
      <c r="U22" s="113">
        <v>-46099.492</v>
      </c>
      <c r="V22" s="63">
        <v>11150.148</v>
      </c>
      <c r="W22" s="113">
        <v>21068.964</v>
      </c>
      <c r="X22" s="63">
        <f>112415.27226-6357.652</f>
        <v>106057.62026</v>
      </c>
      <c r="Y22" s="113">
        <v>0</v>
      </c>
      <c r="Z22" s="63">
        <v>-1153.89244</v>
      </c>
      <c r="AA22" s="113">
        <v>11310.565</v>
      </c>
      <c r="AB22" s="63">
        <v>659358</v>
      </c>
      <c r="AC22" s="113">
        <v>778040</v>
      </c>
      <c r="AD22" s="63">
        <v>-8724.765</v>
      </c>
      <c r="AE22" s="113">
        <v>11663.832</v>
      </c>
      <c r="AF22" s="63">
        <v>910833.98107</v>
      </c>
      <c r="AG22" s="113">
        <v>1006053.186</v>
      </c>
      <c r="AH22" s="63">
        <v>0</v>
      </c>
      <c r="AI22" s="113">
        <v>0</v>
      </c>
      <c r="AJ22" s="63">
        <v>118267.76335</v>
      </c>
      <c r="AK22" s="113">
        <v>0</v>
      </c>
      <c r="AL22" s="63">
        <v>0</v>
      </c>
      <c r="AM22" s="113">
        <v>0</v>
      </c>
      <c r="AN22" s="63">
        <v>215.363</v>
      </c>
      <c r="AO22" s="113">
        <v>1817.251</v>
      </c>
      <c r="AP22" s="63">
        <v>-85648.39568</v>
      </c>
      <c r="AQ22" s="113">
        <v>-85196.951</v>
      </c>
      <c r="AR22" s="63">
        <f>6919.7-55056.568</f>
        <v>-48136.868</v>
      </c>
      <c r="AS22" s="113">
        <v>3218.364</v>
      </c>
      <c r="AT22" s="63">
        <v>0</v>
      </c>
      <c r="AU22" s="113">
        <v>-29271</v>
      </c>
      <c r="AV22" s="63">
        <v>0</v>
      </c>
      <c r="AW22" s="113">
        <v>0</v>
      </c>
      <c r="AX22" s="63">
        <v>0</v>
      </c>
      <c r="AY22" s="113">
        <v>41794.995</v>
      </c>
      <c r="AZ22" s="63">
        <v>-214591.9022</v>
      </c>
      <c r="BA22" s="113">
        <v>-344137.353</v>
      </c>
      <c r="BB22" s="63">
        <v>3920.3</v>
      </c>
      <c r="BC22" s="113">
        <v>9869.144</v>
      </c>
      <c r="BD22" s="63">
        <v>0</v>
      </c>
      <c r="BE22" s="113">
        <v>472223.695</v>
      </c>
      <c r="BF22" s="63">
        <v>0</v>
      </c>
      <c r="BG22" s="113">
        <v>14697.994</v>
      </c>
      <c r="BH22" s="63">
        <v>0</v>
      </c>
      <c r="BI22" s="113">
        <v>356719.37</v>
      </c>
      <c r="BJ22" s="63">
        <v>2758324.173</v>
      </c>
      <c r="BK22" s="113">
        <v>1227879.308</v>
      </c>
      <c r="BL22" s="63">
        <v>-1381897</v>
      </c>
      <c r="BM22" s="113">
        <v>-1276133</v>
      </c>
      <c r="BN22" s="63">
        <v>0</v>
      </c>
      <c r="BO22" s="113">
        <v>189084.065</v>
      </c>
      <c r="BP22" s="63">
        <v>0</v>
      </c>
      <c r="BQ22" s="113">
        <v>143320.746</v>
      </c>
      <c r="BR22" s="63">
        <v>-122000.872</v>
      </c>
      <c r="BS22" s="113">
        <v>-72728.772</v>
      </c>
      <c r="BT22" s="63">
        <v>92576</v>
      </c>
      <c r="BU22" s="113">
        <v>113768</v>
      </c>
      <c r="BV22" s="63">
        <v>0</v>
      </c>
      <c r="BW22" s="113">
        <v>214555.295</v>
      </c>
      <c r="BX22" s="63">
        <v>0</v>
      </c>
      <c r="BY22" s="113">
        <v>192928.016</v>
      </c>
      <c r="BZ22" s="63">
        <v>0</v>
      </c>
      <c r="CA22" s="113">
        <v>0</v>
      </c>
      <c r="CB22" s="63">
        <v>61608.222</v>
      </c>
      <c r="CC22" s="113">
        <v>71403.796</v>
      </c>
      <c r="CD22" s="63">
        <v>0</v>
      </c>
      <c r="CE22" s="113">
        <v>5502</v>
      </c>
      <c r="CF22" s="63">
        <v>0</v>
      </c>
      <c r="CG22" s="113">
        <v>0</v>
      </c>
      <c r="CH22" s="63">
        <v>0</v>
      </c>
      <c r="CI22" s="113">
        <v>485</v>
      </c>
      <c r="CJ22" s="63">
        <v>0</v>
      </c>
      <c r="CK22" s="113">
        <v>0</v>
      </c>
      <c r="CL22" s="63">
        <v>500</v>
      </c>
      <c r="CM22" s="113">
        <v>1000</v>
      </c>
      <c r="CN22" s="63">
        <v>0</v>
      </c>
      <c r="CO22" s="113">
        <v>123286.675</v>
      </c>
      <c r="CP22" s="63">
        <v>0</v>
      </c>
      <c r="CQ22" s="113">
        <v>37911.59</v>
      </c>
      <c r="CR22" s="63">
        <v>4907.581</v>
      </c>
      <c r="CS22" s="113">
        <v>0</v>
      </c>
      <c r="CT22" s="63">
        <v>7603.61</v>
      </c>
      <c r="CU22" s="113">
        <v>40588.808</v>
      </c>
      <c r="CV22" s="63">
        <v>0</v>
      </c>
      <c r="CW22" s="113">
        <v>0</v>
      </c>
      <c r="CX22" s="63">
        <v>0</v>
      </c>
      <c r="CY22" s="113">
        <v>0</v>
      </c>
      <c r="CZ22" s="63">
        <v>0</v>
      </c>
      <c r="DA22" s="113">
        <v>0</v>
      </c>
      <c r="DB22" s="72">
        <v>-63564.12</v>
      </c>
      <c r="DC22" s="113">
        <v>-44224.728</v>
      </c>
      <c r="DD22" s="63">
        <v>0</v>
      </c>
      <c r="DE22" s="63">
        <v>17556.458</v>
      </c>
      <c r="DF22" s="63">
        <v>0</v>
      </c>
      <c r="DG22" s="63">
        <v>-19856.382</v>
      </c>
      <c r="DH22" s="63">
        <v>0</v>
      </c>
      <c r="DI22" s="63">
        <v>180.9</v>
      </c>
      <c r="DJ22" s="63">
        <v>0</v>
      </c>
      <c r="DK22" s="63">
        <v>2470.815</v>
      </c>
    </row>
    <row r="23" spans="1:115" ht="12.75">
      <c r="A23" s="61" t="s">
        <v>36</v>
      </c>
      <c r="B23" s="63">
        <f t="shared" si="22"/>
        <v>22549086.15762</v>
      </c>
      <c r="C23" s="113">
        <f t="shared" si="22"/>
        <v>26161902.255</v>
      </c>
      <c r="D23" s="63">
        <f>1260000+72071.729+7226.427</f>
        <v>1339298.156</v>
      </c>
      <c r="E23" s="118">
        <f>7226.427+72071.729+1260000</f>
        <v>1339298.156</v>
      </c>
      <c r="F23" s="63">
        <f>11673.203+211.777</f>
        <v>11884.98</v>
      </c>
      <c r="G23" s="113">
        <f>211.777+11673.203</f>
        <v>11884.98</v>
      </c>
      <c r="H23" s="63">
        <f>43514.365+18191</f>
        <v>61705.365</v>
      </c>
      <c r="I23" s="118">
        <f>20749+32635.774</f>
        <v>53384.774000000005</v>
      </c>
      <c r="J23" s="63">
        <f>825417.206+266889.159+202470.73+71846.936</f>
        <v>1366624.031</v>
      </c>
      <c r="K23" s="113">
        <f>74553.392+226828.831+266889.159+846509.764</f>
        <v>1414781.146</v>
      </c>
      <c r="L23" s="63">
        <f>15500.818+118414.51+2671.82</f>
        <v>136587.148</v>
      </c>
      <c r="M23" s="113">
        <f>21162.373+118414.51+15480.82</f>
        <v>155057.703</v>
      </c>
      <c r="N23" s="63">
        <f>138297.443+37907.189</f>
        <v>176204.63199999998</v>
      </c>
      <c r="O23" s="113">
        <f>37907.189+138297.443+84535.891</f>
        <v>260740.523</v>
      </c>
      <c r="P23" s="63">
        <f>8073.857+3510.6578</f>
        <v>11584.5148</v>
      </c>
      <c r="Q23" s="113">
        <f>3510.657+8073.857</f>
        <v>11584.514</v>
      </c>
      <c r="R23" s="63">
        <f>108223.068+60811.148</f>
        <v>169034.21600000001</v>
      </c>
      <c r="S23" s="113">
        <f>73019.48+108223.068</f>
        <v>181242.548</v>
      </c>
      <c r="T23" s="63">
        <f>124401.545+447.82</f>
        <v>124849.365</v>
      </c>
      <c r="U23" s="113">
        <f>447.82+124401.545</f>
        <v>124849.365</v>
      </c>
      <c r="V23" s="63">
        <f>6241.006+2095.8</f>
        <v>8336.806</v>
      </c>
      <c r="W23" s="113">
        <f>3197.89+6241.066</f>
        <v>9438.956</v>
      </c>
      <c r="X23" s="63">
        <v>0</v>
      </c>
      <c r="Y23" s="113">
        <v>0</v>
      </c>
      <c r="Z23" s="63">
        <f>57495.2052+389.968</f>
        <v>57885.1732</v>
      </c>
      <c r="AA23" s="113">
        <f>1774.908+57495.205</f>
        <v>59270.113000000005</v>
      </c>
      <c r="AB23" s="63">
        <f>86903+110000</f>
        <v>196903</v>
      </c>
      <c r="AC23" s="113">
        <f>110000+86903</f>
        <v>196903</v>
      </c>
      <c r="AD23" s="63">
        <f>95529.072+712.842</f>
        <v>96241.914</v>
      </c>
      <c r="AE23" s="113">
        <f>712.842+95529.072</f>
        <v>96241.914</v>
      </c>
      <c r="AF23" s="63">
        <f>113696.11515+150627.09879</f>
        <v>264323.21394</v>
      </c>
      <c r="AG23" s="113">
        <f>150627.098+113696.115</f>
        <v>264323.213</v>
      </c>
      <c r="AH23" s="63">
        <f>23003.633+1500</f>
        <v>24503.633</v>
      </c>
      <c r="AI23" s="113">
        <f>1500+23003.633</f>
        <v>24503.633</v>
      </c>
      <c r="AJ23" s="63">
        <f>212813.75206+11411.03294</f>
        <v>224224.785</v>
      </c>
      <c r="AK23" s="113">
        <v>0</v>
      </c>
      <c r="AL23" s="63">
        <f>211027.787+72688.381+552870.233+73051.487</f>
        <v>909637.888</v>
      </c>
      <c r="AM23" s="113">
        <f>93309.69+735194.061+72688.381+162100.141</f>
        <v>1063292.273</v>
      </c>
      <c r="AN23" s="63">
        <f>3739.364+346.851</f>
        <v>4086.215</v>
      </c>
      <c r="AO23" s="113">
        <f>1393.951+3739.364</f>
        <v>5133.3150000000005</v>
      </c>
      <c r="AP23" s="63">
        <f>82111.99714+285842.31554+2032.8</f>
        <v>369987.11267999996</v>
      </c>
      <c r="AQ23" s="113">
        <f>2032.8+285842.315+82111.997</f>
        <v>369987.11199999996</v>
      </c>
      <c r="AR23" s="63">
        <f>78449.877+1027.633</f>
        <v>79477.51</v>
      </c>
      <c r="AS23" s="113">
        <f>616.373+78449.877-68213.709</f>
        <v>10852.540999999997</v>
      </c>
      <c r="AT23" s="63">
        <f>5862.125+28933.578</f>
        <v>34795.703</v>
      </c>
      <c r="AU23" s="113">
        <f>5862+28934</f>
        <v>34796</v>
      </c>
      <c r="AV23" s="63">
        <v>0</v>
      </c>
      <c r="AW23" s="113">
        <v>0</v>
      </c>
      <c r="AX23" s="63">
        <v>4824</v>
      </c>
      <c r="AY23" s="113">
        <v>34824</v>
      </c>
      <c r="AZ23" s="63">
        <v>153315.689</v>
      </c>
      <c r="BA23" s="113">
        <v>167930.645</v>
      </c>
      <c r="BB23" s="63">
        <v>4754</v>
      </c>
      <c r="BC23" s="113">
        <v>4754</v>
      </c>
      <c r="BD23" s="63">
        <v>0</v>
      </c>
      <c r="BE23" s="113">
        <f>86063.265+275623.353+720000</f>
        <v>1081686.618</v>
      </c>
      <c r="BF23" s="63">
        <v>0</v>
      </c>
      <c r="BG23" s="113">
        <f>5998.134+2786.266</f>
        <v>8784.4</v>
      </c>
      <c r="BH23" s="63">
        <v>0</v>
      </c>
      <c r="BI23" s="113">
        <v>96622.195</v>
      </c>
      <c r="BJ23" s="63">
        <f>1547200.29+55117.983+27992.439+5413187.084</f>
        <v>7043497.796</v>
      </c>
      <c r="BK23" s="113">
        <f>1613242.47+55117.983+477190.268+27992.439+5413187.084</f>
        <v>7586730.243999999</v>
      </c>
      <c r="BL23" s="63">
        <f>597576+1372950+6999960</f>
        <v>8970486</v>
      </c>
      <c r="BM23" s="113">
        <f>609328+1336385+6999960</f>
        <v>8945673</v>
      </c>
      <c r="BN23" s="63">
        <v>0</v>
      </c>
      <c r="BO23" s="113">
        <f>27098.862+515350.386</f>
        <v>542449.248</v>
      </c>
      <c r="BP23" s="63">
        <v>0</v>
      </c>
      <c r="BQ23" s="113">
        <f>4572.328+500000</f>
        <v>504572.328</v>
      </c>
      <c r="BR23" s="63">
        <f>14714.943+119988.177</f>
        <v>134703.12</v>
      </c>
      <c r="BS23" s="113">
        <f>14714.943+119988.177</f>
        <v>134703.12</v>
      </c>
      <c r="BT23" s="63">
        <v>7848</v>
      </c>
      <c r="BU23" s="113">
        <v>7848</v>
      </c>
      <c r="BV23" s="63">
        <v>0</v>
      </c>
      <c r="BW23" s="113">
        <f>19006.034+216078.667</f>
        <v>235084.701</v>
      </c>
      <c r="BX23" s="63">
        <v>0</v>
      </c>
      <c r="BY23" s="113">
        <f>11687.306+150922.886</f>
        <v>162610.192</v>
      </c>
      <c r="BZ23" s="63">
        <f>7181.046+113540.626</f>
        <v>120721.672</v>
      </c>
      <c r="CA23" s="113">
        <f>7181.046+113540.626</f>
        <v>120721.672</v>
      </c>
      <c r="CB23" s="63">
        <f>17832.828+92538.273+40000</f>
        <v>150371.101</v>
      </c>
      <c r="CC23" s="113">
        <f>18921.225+92538.273+40000</f>
        <v>151459.498</v>
      </c>
      <c r="CD23" s="63">
        <v>0</v>
      </c>
      <c r="CE23" s="113">
        <f>1000-6238</f>
        <v>-5238</v>
      </c>
      <c r="CF23" s="63">
        <v>0</v>
      </c>
      <c r="CG23" s="113">
        <v>1676.94</v>
      </c>
      <c r="CH23" s="63">
        <v>0</v>
      </c>
      <c r="CI23" s="113">
        <v>0</v>
      </c>
      <c r="CJ23" s="63">
        <v>0</v>
      </c>
      <c r="CK23" s="113">
        <v>0</v>
      </c>
      <c r="CL23" s="63">
        <f>284.208+2571.187+2353.321+1046.304</f>
        <v>6255.02</v>
      </c>
      <c r="CM23" s="113">
        <f>834.208+3333.41+2277.067+1097.549</f>
        <v>7542.2339999999995</v>
      </c>
      <c r="CN23" s="63">
        <v>0</v>
      </c>
      <c r="CO23" s="113">
        <f>139193.824+19489.449</f>
        <v>158683.273</v>
      </c>
      <c r="CP23" s="63">
        <v>0</v>
      </c>
      <c r="CQ23" s="113">
        <f>12934.82+11150.172+29787.309</f>
        <v>53872.301</v>
      </c>
      <c r="CR23" s="63">
        <f>1598.833+49164.963+82072.48</f>
        <v>132836.276</v>
      </c>
      <c r="CS23" s="113">
        <f>3356.957+20730.995+49164.963+82072.48</f>
        <v>155325.39500000002</v>
      </c>
      <c r="CT23" s="63">
        <f>118935.79+10505.128</f>
        <v>129440.91799999999</v>
      </c>
      <c r="CU23" s="113">
        <f>118935.79+14170.15</f>
        <v>133105.94</v>
      </c>
      <c r="CV23" s="63">
        <v>0</v>
      </c>
      <c r="CW23" s="113">
        <v>0</v>
      </c>
      <c r="CX23" s="63">
        <v>0</v>
      </c>
      <c r="CY23" s="113">
        <v>0</v>
      </c>
      <c r="CZ23" s="63">
        <f>800.549+2548.486+9321.553</f>
        <v>12670.588</v>
      </c>
      <c r="DA23" s="113">
        <f>850.909+2452.658+19049.029</f>
        <v>22352.595999999998</v>
      </c>
      <c r="DB23" s="63">
        <f>9186.616</f>
        <v>9186.616</v>
      </c>
      <c r="DC23" s="113">
        <f>2148.821+9186.616</f>
        <v>11335.437</v>
      </c>
      <c r="DD23" s="63">
        <v>0</v>
      </c>
      <c r="DE23" s="63">
        <f>10477.289+132132.59</f>
        <v>142609.879</v>
      </c>
      <c r="DF23" s="63">
        <v>0</v>
      </c>
      <c r="DG23" s="63">
        <v>4358</v>
      </c>
      <c r="DH23" s="63">
        <v>0</v>
      </c>
      <c r="DI23" s="63">
        <v>77.72</v>
      </c>
      <c r="DJ23" s="63">
        <v>0</v>
      </c>
      <c r="DK23" s="63">
        <v>2180.9</v>
      </c>
    </row>
    <row r="24" spans="1:115" ht="12.75">
      <c r="A24" s="108" t="s">
        <v>37</v>
      </c>
      <c r="B24" s="64">
        <f aca="true" t="shared" si="23" ref="B24:G24">SUM(B20:B23)</f>
        <v>37159494.75945</v>
      </c>
      <c r="C24" s="114">
        <f t="shared" si="23"/>
        <v>47713085.776</v>
      </c>
      <c r="D24" s="64">
        <f t="shared" si="23"/>
        <v>794244.5119999999</v>
      </c>
      <c r="E24" s="117">
        <f t="shared" si="23"/>
        <v>837965.8829999999</v>
      </c>
      <c r="F24" s="64">
        <f t="shared" si="23"/>
        <v>99578.80099999999</v>
      </c>
      <c r="G24" s="114">
        <f t="shared" si="23"/>
        <v>103697.41500000001</v>
      </c>
      <c r="H24" s="64">
        <f aca="true" t="shared" si="24" ref="H24:AF24">SUM(H20:H23)</f>
        <v>177593.253</v>
      </c>
      <c r="I24" s="117">
        <f>SUM(I20:I23)</f>
        <v>184341.13700000002</v>
      </c>
      <c r="J24" s="64">
        <f t="shared" si="24"/>
        <v>2454118.318</v>
      </c>
      <c r="K24" s="114">
        <f>SUM(K20:K23)</f>
        <v>2557796.0659999996</v>
      </c>
      <c r="L24" s="64">
        <f t="shared" si="24"/>
        <v>913812.703</v>
      </c>
      <c r="M24" s="114">
        <f>SUM(M20:M23)</f>
        <v>1148103.199</v>
      </c>
      <c r="N24" s="64">
        <f t="shared" si="24"/>
        <v>458403.595</v>
      </c>
      <c r="O24" s="114">
        <f>SUM(O20:O23)</f>
        <v>561654.127</v>
      </c>
      <c r="P24" s="64">
        <f t="shared" si="24"/>
        <v>372866.08200000005</v>
      </c>
      <c r="Q24" s="114">
        <f>SUM(Q20:Q23)</f>
        <v>378247.55199999997</v>
      </c>
      <c r="R24" s="64">
        <f t="shared" si="24"/>
        <v>1021246.968</v>
      </c>
      <c r="S24" s="114">
        <f>SUM(S20:S23)</f>
        <v>1047840.554</v>
      </c>
      <c r="T24" s="64">
        <f t="shared" si="24"/>
        <v>174249.87300000002</v>
      </c>
      <c r="U24" s="114">
        <f>SUM(U20:U23)</f>
        <v>175885.473</v>
      </c>
      <c r="V24" s="64">
        <f t="shared" si="24"/>
        <v>260382.46</v>
      </c>
      <c r="W24" s="114">
        <f>SUM(W20:W23)</f>
        <v>262338.715</v>
      </c>
      <c r="X24" s="64">
        <f t="shared" si="24"/>
        <v>371892.42759</v>
      </c>
      <c r="Y24" s="114">
        <f>SUM(Y20:Y23)</f>
        <v>345019.721</v>
      </c>
      <c r="Z24" s="64">
        <f t="shared" si="24"/>
        <v>106580.67885</v>
      </c>
      <c r="AA24" s="114">
        <f>SUM(AA20:AA23)</f>
        <v>130558.09700000001</v>
      </c>
      <c r="AB24" s="64">
        <f t="shared" si="24"/>
        <v>1274942</v>
      </c>
      <c r="AC24" s="114">
        <f>SUM(AC20:AC23)</f>
        <v>1359175</v>
      </c>
      <c r="AD24" s="64">
        <f t="shared" si="24"/>
        <v>178429.22</v>
      </c>
      <c r="AE24" s="114">
        <f>SUM(AE20:AE23)</f>
        <v>198090.517</v>
      </c>
      <c r="AF24" s="64">
        <f t="shared" si="24"/>
        <v>1686273.40062</v>
      </c>
      <c r="AG24" s="114">
        <f>SUM(AG20:AG23)</f>
        <v>1681803.753</v>
      </c>
      <c r="AH24" s="64">
        <f aca="true" t="shared" si="25" ref="AH24:AX24">SUM(AH20:AH23)</f>
        <v>74147.80600000001</v>
      </c>
      <c r="AI24" s="114">
        <f t="shared" si="25"/>
        <v>37151.332</v>
      </c>
      <c r="AJ24" s="64">
        <f t="shared" si="25"/>
        <v>946980.9393500001</v>
      </c>
      <c r="AK24" s="114">
        <f>SUM(AK20:AK23)</f>
        <v>0</v>
      </c>
      <c r="AL24" s="64">
        <f t="shared" si="25"/>
        <v>1412219.919</v>
      </c>
      <c r="AM24" s="114">
        <f>SUM(AM20:AM23)</f>
        <v>1392662.3590000002</v>
      </c>
      <c r="AN24" s="64">
        <f t="shared" si="25"/>
        <v>44903.466</v>
      </c>
      <c r="AO24" s="114">
        <f>SUM(AO20:AO23)</f>
        <v>55374.462999999996</v>
      </c>
      <c r="AP24" s="64">
        <f t="shared" si="25"/>
        <v>372504.30039999995</v>
      </c>
      <c r="AQ24" s="114">
        <f>SUM(AQ20:AQ23)</f>
        <v>365240.80299999996</v>
      </c>
      <c r="AR24" s="64">
        <f t="shared" si="25"/>
        <v>40493.903999999995</v>
      </c>
      <c r="AS24" s="114">
        <f>SUM(AS20:AS23)</f>
        <v>44694.627</v>
      </c>
      <c r="AT24" s="64">
        <f t="shared" si="25"/>
        <v>113524.24884000001</v>
      </c>
      <c r="AU24" s="114">
        <f>SUM(AU20:AU23)</f>
        <v>91101</v>
      </c>
      <c r="AV24" s="64">
        <f t="shared" si="25"/>
        <v>125734.02</v>
      </c>
      <c r="AW24" s="114">
        <f>SUM(AW20:AW23)</f>
        <v>0</v>
      </c>
      <c r="AX24" s="64">
        <f t="shared" si="25"/>
        <v>469213.649</v>
      </c>
      <c r="AY24" s="114">
        <f>SUM(AY20:AY23)</f>
        <v>521225.995</v>
      </c>
      <c r="AZ24" s="64">
        <f>SUM(AZ20:AZ23)</f>
        <v>52573.8548</v>
      </c>
      <c r="BA24" s="114">
        <f>SUM(BA20:BA23)</f>
        <v>-78096.464</v>
      </c>
      <c r="BB24" s="64">
        <f>SUM(BB20:BB23)</f>
        <v>24623.144</v>
      </c>
      <c r="BC24" s="114">
        <f>SUM(BC20:BC23)</f>
        <v>30188.542</v>
      </c>
      <c r="BD24" s="64">
        <f aca="true" t="shared" si="26" ref="BD24:BK24">SUM(BD20:BD23)</f>
        <v>0</v>
      </c>
      <c r="BE24" s="114">
        <f t="shared" si="26"/>
        <v>1725172.385</v>
      </c>
      <c r="BF24" s="64">
        <f t="shared" si="26"/>
        <v>0</v>
      </c>
      <c r="BG24" s="114">
        <f t="shared" si="26"/>
        <v>150277.017</v>
      </c>
      <c r="BH24" s="64">
        <f t="shared" si="26"/>
        <v>0</v>
      </c>
      <c r="BI24" s="114">
        <f t="shared" si="26"/>
        <v>686197.3759999999</v>
      </c>
      <c r="BJ24" s="64">
        <f t="shared" si="26"/>
        <v>10786000.649</v>
      </c>
      <c r="BK24" s="114">
        <f t="shared" si="26"/>
        <v>13642877.796</v>
      </c>
      <c r="BL24" s="64">
        <f aca="true" t="shared" si="27" ref="BL24:BQ24">SUM(BL20:BL23)</f>
        <v>10206105</v>
      </c>
      <c r="BM24" s="114">
        <f t="shared" si="27"/>
        <v>10261194</v>
      </c>
      <c r="BN24" s="64">
        <f t="shared" si="27"/>
        <v>0</v>
      </c>
      <c r="BO24" s="114">
        <f t="shared" si="27"/>
        <v>821574.488</v>
      </c>
      <c r="BP24" s="64">
        <f t="shared" si="27"/>
        <v>0</v>
      </c>
      <c r="BQ24" s="114">
        <f t="shared" si="27"/>
        <v>894030.736</v>
      </c>
      <c r="BR24" s="64">
        <f aca="true" t="shared" si="28" ref="BR24:BW24">SUM(BR20:BR23)</f>
        <v>374181.24600000004</v>
      </c>
      <c r="BS24" s="114">
        <f t="shared" si="28"/>
        <v>383799.474</v>
      </c>
      <c r="BT24" s="64">
        <f t="shared" si="28"/>
        <v>143391</v>
      </c>
      <c r="BU24" s="114">
        <f t="shared" si="28"/>
        <v>173788.22</v>
      </c>
      <c r="BV24" s="64">
        <f t="shared" si="28"/>
        <v>0</v>
      </c>
      <c r="BW24" s="114">
        <f t="shared" si="28"/>
        <v>506951.13</v>
      </c>
      <c r="BX24" s="64">
        <f>SUM(BX20:BX23)</f>
        <v>0</v>
      </c>
      <c r="BY24" s="114">
        <f>SUM(BY20:BY23)</f>
        <v>501255.88800000004</v>
      </c>
      <c r="BZ24" s="64">
        <f aca="true" t="shared" si="29" ref="BZ24:CE24">SUM(BZ20:BZ23)</f>
        <v>263600.98600000003</v>
      </c>
      <c r="CA24" s="114">
        <f t="shared" si="29"/>
        <v>302379.786</v>
      </c>
      <c r="CB24" s="64">
        <f t="shared" si="29"/>
        <v>288863.294</v>
      </c>
      <c r="CC24" s="114">
        <f t="shared" si="29"/>
        <v>304577.671</v>
      </c>
      <c r="CD24" s="64">
        <f t="shared" si="29"/>
        <v>0</v>
      </c>
      <c r="CE24" s="114">
        <f t="shared" si="29"/>
        <v>49577</v>
      </c>
      <c r="CF24" s="64">
        <f aca="true" t="shared" si="30" ref="CF24:CS24">SUM(CF20:CF23)</f>
        <v>0</v>
      </c>
      <c r="CG24" s="114">
        <f t="shared" si="30"/>
        <v>167356.634</v>
      </c>
      <c r="CH24" s="64">
        <f t="shared" si="30"/>
        <v>0</v>
      </c>
      <c r="CI24" s="114">
        <f t="shared" si="30"/>
        <v>61710.864</v>
      </c>
      <c r="CJ24" s="64">
        <f t="shared" si="30"/>
        <v>0</v>
      </c>
      <c r="CK24" s="114">
        <f t="shared" si="30"/>
        <v>154693</v>
      </c>
      <c r="CL24" s="64">
        <f t="shared" si="30"/>
        <v>11027.244</v>
      </c>
      <c r="CM24" s="114">
        <f t="shared" si="30"/>
        <v>13561.271</v>
      </c>
      <c r="CN24" s="64">
        <f t="shared" si="30"/>
        <v>0</v>
      </c>
      <c r="CO24" s="114">
        <f t="shared" si="30"/>
        <v>374861.999</v>
      </c>
      <c r="CP24" s="64">
        <f t="shared" si="30"/>
        <v>0</v>
      </c>
      <c r="CQ24" s="114">
        <f t="shared" si="30"/>
        <v>410403.93299999996</v>
      </c>
      <c r="CR24" s="64">
        <f t="shared" si="30"/>
        <v>485325.395</v>
      </c>
      <c r="CS24" s="114">
        <f t="shared" si="30"/>
        <v>902288.8910000001</v>
      </c>
      <c r="CT24" s="64">
        <f aca="true" t="shared" si="31" ref="CT24:DA24">SUM(CT20:CT23)</f>
        <v>270494.747</v>
      </c>
      <c r="CU24" s="114">
        <f t="shared" si="31"/>
        <v>286567.16099999996</v>
      </c>
      <c r="CV24" s="64">
        <f t="shared" si="31"/>
        <v>0</v>
      </c>
      <c r="CW24" s="114">
        <f t="shared" si="31"/>
        <v>236167</v>
      </c>
      <c r="CX24" s="64">
        <f t="shared" si="31"/>
        <v>0</v>
      </c>
      <c r="CY24" s="114">
        <f t="shared" si="31"/>
        <v>69597.846</v>
      </c>
      <c r="CZ24" s="64">
        <f t="shared" si="31"/>
        <v>13860.948</v>
      </c>
      <c r="DA24" s="114">
        <f t="shared" si="31"/>
        <v>23587.117</v>
      </c>
      <c r="DB24" s="64">
        <f aca="true" t="shared" si="32" ref="DB24:DG24">SUM(DB20:DB23)</f>
        <v>295110.707</v>
      </c>
      <c r="DC24" s="114">
        <f t="shared" si="32"/>
        <v>415955.31899999996</v>
      </c>
      <c r="DD24" s="64">
        <f t="shared" si="32"/>
        <v>0</v>
      </c>
      <c r="DE24" s="64">
        <f t="shared" si="32"/>
        <v>544677.476</v>
      </c>
      <c r="DF24" s="64">
        <f t="shared" si="32"/>
        <v>0</v>
      </c>
      <c r="DG24" s="64">
        <f t="shared" si="32"/>
        <v>125687.417</v>
      </c>
      <c r="DH24" s="64">
        <f>SUM(DH20:DH23)</f>
        <v>0</v>
      </c>
      <c r="DI24" s="64">
        <f>SUM(DI20:DI23)</f>
        <v>1977.2</v>
      </c>
      <c r="DJ24" s="64">
        <f>SUM(DJ20:DJ23)</f>
        <v>0</v>
      </c>
      <c r="DK24" s="64">
        <f>SUM(DK20:DK23)</f>
        <v>88279.815</v>
      </c>
    </row>
    <row r="25" spans="1:115" ht="12.75">
      <c r="A25" s="108" t="s">
        <v>38</v>
      </c>
      <c r="B25" s="64">
        <f aca="true" t="shared" si="33" ref="B25:G25">+B24+B18</f>
        <v>87889534.95415</v>
      </c>
      <c r="C25" s="114">
        <f t="shared" si="33"/>
        <v>104587608.06399998</v>
      </c>
      <c r="D25" s="64">
        <f t="shared" si="33"/>
        <v>1798950.518</v>
      </c>
      <c r="E25" s="117">
        <f t="shared" si="33"/>
        <v>1956064.018</v>
      </c>
      <c r="F25" s="64">
        <f t="shared" si="33"/>
        <v>120271.30399999999</v>
      </c>
      <c r="G25" s="114">
        <f t="shared" si="33"/>
        <v>114501.24500000001</v>
      </c>
      <c r="H25" s="64">
        <f aca="true" t="shared" si="34" ref="H25:AF25">+H24+H18</f>
        <v>311125.717</v>
      </c>
      <c r="I25" s="117">
        <f>+I24+I18</f>
        <v>334449.995</v>
      </c>
      <c r="J25" s="64">
        <f t="shared" si="34"/>
        <v>5884520.8440000005</v>
      </c>
      <c r="K25" s="114">
        <f>+K24+K18</f>
        <v>6465614.477</v>
      </c>
      <c r="L25" s="64">
        <f t="shared" si="34"/>
        <v>2093269.075</v>
      </c>
      <c r="M25" s="114">
        <f>+M24+M18</f>
        <v>2576432.318</v>
      </c>
      <c r="N25" s="64">
        <f t="shared" si="34"/>
        <v>572559.919</v>
      </c>
      <c r="O25" s="114">
        <f>+O24+O18</f>
        <v>630578.4909999999</v>
      </c>
      <c r="P25" s="64">
        <f t="shared" si="34"/>
        <v>478837.5395000001</v>
      </c>
      <c r="Q25" s="114">
        <f>+Q24+Q18</f>
        <v>487968.72199999995</v>
      </c>
      <c r="R25" s="64">
        <f t="shared" si="34"/>
        <v>1486518.222</v>
      </c>
      <c r="S25" s="114">
        <f>+S24+S18</f>
        <v>1202978.44</v>
      </c>
      <c r="T25" s="64">
        <f t="shared" si="34"/>
        <v>174281.87300000002</v>
      </c>
      <c r="U25" s="114">
        <f>+U24+U18</f>
        <v>175904.033</v>
      </c>
      <c r="V25" s="64">
        <f t="shared" si="34"/>
        <v>550790.082</v>
      </c>
      <c r="W25" s="114">
        <f>+W24+W18</f>
        <v>739706.2220000001</v>
      </c>
      <c r="X25" s="64">
        <f t="shared" si="34"/>
        <v>440061.52014</v>
      </c>
      <c r="Y25" s="114">
        <f>+Y24+Y18</f>
        <v>410078.216</v>
      </c>
      <c r="Z25" s="64">
        <f t="shared" si="34"/>
        <v>141458.82285</v>
      </c>
      <c r="AA25" s="114">
        <f>+AA24+AA18</f>
        <v>164569.35</v>
      </c>
      <c r="AB25" s="64">
        <f t="shared" si="34"/>
        <v>1453799</v>
      </c>
      <c r="AC25" s="114">
        <f>+AC24+AC18</f>
        <v>1549990</v>
      </c>
      <c r="AD25" s="64">
        <f t="shared" si="34"/>
        <v>201342.194</v>
      </c>
      <c r="AE25" s="114">
        <f>+AE24+AE18</f>
        <v>222059.85499999998</v>
      </c>
      <c r="AF25" s="64">
        <f t="shared" si="34"/>
        <v>2898674.82527</v>
      </c>
      <c r="AG25" s="114">
        <f>+AG24+AG18</f>
        <v>2466125.18</v>
      </c>
      <c r="AH25" s="64">
        <f aca="true" t="shared" si="35" ref="AH25:AX25">+AH24+AH18</f>
        <v>220450.106</v>
      </c>
      <c r="AI25" s="114">
        <f t="shared" si="35"/>
        <v>187705.822</v>
      </c>
      <c r="AJ25" s="64">
        <f t="shared" si="35"/>
        <v>1979448.7123500002</v>
      </c>
      <c r="AK25" s="114">
        <f>+AK24+AK18</f>
        <v>0</v>
      </c>
      <c r="AL25" s="64">
        <f t="shared" si="35"/>
        <v>2845883.1550000003</v>
      </c>
      <c r="AM25" s="114">
        <f>+AM24+AM18</f>
        <v>3842897.149</v>
      </c>
      <c r="AN25" s="64">
        <f t="shared" si="35"/>
        <v>52310.754</v>
      </c>
      <c r="AO25" s="114">
        <f>+AO24+AO18</f>
        <v>60201.751</v>
      </c>
      <c r="AP25" s="64">
        <f t="shared" si="35"/>
        <v>374238.20239999995</v>
      </c>
      <c r="AQ25" s="114">
        <f>+AQ24+AQ18</f>
        <v>368570.339</v>
      </c>
      <c r="AR25" s="64">
        <f t="shared" si="35"/>
        <v>63835.481</v>
      </c>
      <c r="AS25" s="114">
        <f>+AS24+AS18</f>
        <v>79491.273</v>
      </c>
      <c r="AT25" s="64">
        <f t="shared" si="35"/>
        <v>117511.98884000002</v>
      </c>
      <c r="AU25" s="114">
        <f>+AU24+AU18</f>
        <v>130894</v>
      </c>
      <c r="AV25" s="64">
        <f t="shared" si="35"/>
        <v>195466.635</v>
      </c>
      <c r="AW25" s="114">
        <f>+AW24+AW18</f>
        <v>0</v>
      </c>
      <c r="AX25" s="64">
        <f t="shared" si="35"/>
        <v>486200.138</v>
      </c>
      <c r="AY25" s="114">
        <f>+AY24+AY18</f>
        <v>602167.642</v>
      </c>
      <c r="AZ25" s="64">
        <f>+AZ24+AZ18</f>
        <v>186900.40279999998</v>
      </c>
      <c r="BA25" s="114">
        <f>+BA24+BA18</f>
        <v>182113.41</v>
      </c>
      <c r="BB25" s="64">
        <f>+BB24+BB18</f>
        <v>70819.708</v>
      </c>
      <c r="BC25" s="114">
        <f>+BC24+BC18</f>
        <v>80560.87400000001</v>
      </c>
      <c r="BD25" s="64">
        <f aca="true" t="shared" si="36" ref="BD25:BK25">+BD24+BD18</f>
        <v>0</v>
      </c>
      <c r="BE25" s="114">
        <f t="shared" si="36"/>
        <v>3434127.5020000003</v>
      </c>
      <c r="BF25" s="64">
        <f t="shared" si="36"/>
        <v>0</v>
      </c>
      <c r="BG25" s="114">
        <f t="shared" si="36"/>
        <v>221540.731</v>
      </c>
      <c r="BH25" s="64">
        <f t="shared" si="36"/>
        <v>0</v>
      </c>
      <c r="BI25" s="114">
        <f t="shared" si="36"/>
        <v>1332998.51</v>
      </c>
      <c r="BJ25" s="64">
        <f t="shared" si="36"/>
        <v>44265319.177</v>
      </c>
      <c r="BK25" s="114">
        <f t="shared" si="36"/>
        <v>48968337.133</v>
      </c>
      <c r="BL25" s="64">
        <f aca="true" t="shared" si="37" ref="BL25:BQ25">+BL24+BL18</f>
        <v>15569205</v>
      </c>
      <c r="BM25" s="114">
        <f t="shared" si="37"/>
        <v>14982812</v>
      </c>
      <c r="BN25" s="64">
        <f t="shared" si="37"/>
        <v>0</v>
      </c>
      <c r="BO25" s="114">
        <f t="shared" si="37"/>
        <v>994793.346</v>
      </c>
      <c r="BP25" s="64">
        <f t="shared" si="37"/>
        <v>0</v>
      </c>
      <c r="BQ25" s="114">
        <f t="shared" si="37"/>
        <v>1477638.8420000002</v>
      </c>
      <c r="BR25" s="64">
        <f aca="true" t="shared" si="38" ref="BR25:BW25">+BR24+BR18</f>
        <v>519539.895</v>
      </c>
      <c r="BS25" s="114">
        <f t="shared" si="38"/>
        <v>721284.0889999999</v>
      </c>
      <c r="BT25" s="64">
        <f t="shared" si="38"/>
        <v>217018</v>
      </c>
      <c r="BU25" s="114">
        <f t="shared" si="38"/>
        <v>272202.22</v>
      </c>
      <c r="BV25" s="64">
        <f t="shared" si="38"/>
        <v>0</v>
      </c>
      <c r="BW25" s="114">
        <f t="shared" si="38"/>
        <v>804210.462</v>
      </c>
      <c r="BX25" s="64">
        <f>+BX24+BX18</f>
        <v>0</v>
      </c>
      <c r="BY25" s="114">
        <f>+BY24+BY18</f>
        <v>583146.5360000001</v>
      </c>
      <c r="BZ25" s="64">
        <f aca="true" t="shared" si="39" ref="BZ25:CE25">+BZ24+BZ18</f>
        <v>424739.73500000004</v>
      </c>
      <c r="CA25" s="114">
        <f t="shared" si="39"/>
        <v>543337.778</v>
      </c>
      <c r="CB25" s="64">
        <f t="shared" si="39"/>
        <v>303998.284</v>
      </c>
      <c r="CC25" s="114">
        <f t="shared" si="39"/>
        <v>320831.75499999995</v>
      </c>
      <c r="CD25" s="64">
        <f t="shared" si="39"/>
        <v>0</v>
      </c>
      <c r="CE25" s="114">
        <f t="shared" si="39"/>
        <v>84798</v>
      </c>
      <c r="CF25" s="64">
        <f aca="true" t="shared" si="40" ref="CF25:CS25">+CF24+CF18</f>
        <v>0</v>
      </c>
      <c r="CG25" s="114">
        <f t="shared" si="40"/>
        <v>195486.046</v>
      </c>
      <c r="CH25" s="64">
        <f t="shared" si="40"/>
        <v>0</v>
      </c>
      <c r="CI25" s="114">
        <f t="shared" si="40"/>
        <v>76583.098</v>
      </c>
      <c r="CJ25" s="64">
        <f t="shared" si="40"/>
        <v>0</v>
      </c>
      <c r="CK25" s="114">
        <f t="shared" si="40"/>
        <v>160684</v>
      </c>
      <c r="CL25" s="64">
        <f t="shared" si="40"/>
        <v>14260.079000000002</v>
      </c>
      <c r="CM25" s="114">
        <f t="shared" si="40"/>
        <v>17875.819</v>
      </c>
      <c r="CN25" s="64">
        <f t="shared" si="40"/>
        <v>0</v>
      </c>
      <c r="CO25" s="114">
        <f t="shared" si="40"/>
        <v>481475.223</v>
      </c>
      <c r="CP25" s="64">
        <f t="shared" si="40"/>
        <v>0</v>
      </c>
      <c r="CQ25" s="114">
        <f t="shared" si="40"/>
        <v>599434.986</v>
      </c>
      <c r="CR25" s="64">
        <f t="shared" si="40"/>
        <v>724456.86</v>
      </c>
      <c r="CS25" s="114">
        <f t="shared" si="40"/>
        <v>996024.062</v>
      </c>
      <c r="CT25" s="64">
        <f aca="true" t="shared" si="41" ref="CT25:DA25">+CT24+CT18</f>
        <v>301277.747</v>
      </c>
      <c r="CU25" s="114">
        <f t="shared" si="41"/>
        <v>305226.941</v>
      </c>
      <c r="CV25" s="64">
        <f t="shared" si="41"/>
        <v>0</v>
      </c>
      <c r="CW25" s="114">
        <f t="shared" si="41"/>
        <v>245261</v>
      </c>
      <c r="CX25" s="64">
        <f t="shared" si="41"/>
        <v>0</v>
      </c>
      <c r="CY25" s="114">
        <f t="shared" si="41"/>
        <v>135641.245</v>
      </c>
      <c r="CZ25" s="64">
        <f t="shared" si="41"/>
        <v>22274.279000000002</v>
      </c>
      <c r="DA25" s="114">
        <f t="shared" si="41"/>
        <v>32192.476</v>
      </c>
      <c r="DB25" s="64">
        <f aca="true" t="shared" si="42" ref="DB25:DG25">+DB24+DB18</f>
        <v>327919.159</v>
      </c>
      <c r="DC25" s="114">
        <f t="shared" si="42"/>
        <v>539626.399</v>
      </c>
      <c r="DD25" s="64">
        <f t="shared" si="42"/>
        <v>0</v>
      </c>
      <c r="DE25" s="64">
        <f t="shared" si="42"/>
        <v>791689.469</v>
      </c>
      <c r="DF25" s="64">
        <f t="shared" si="42"/>
        <v>0</v>
      </c>
      <c r="DG25" s="64">
        <f t="shared" si="42"/>
        <v>143642.759</v>
      </c>
      <c r="DH25" s="64">
        <f>+DH24+DH18</f>
        <v>0</v>
      </c>
      <c r="DI25" s="64">
        <f>+DI24+DI18</f>
        <v>2360</v>
      </c>
      <c r="DJ25" s="64">
        <f>+DJ24+DJ18</f>
        <v>0</v>
      </c>
      <c r="DK25" s="64">
        <f>+DK24+DK18</f>
        <v>90722.815</v>
      </c>
    </row>
    <row r="26" spans="1:115" ht="12.75">
      <c r="A26" s="108" t="s">
        <v>39</v>
      </c>
      <c r="B26" s="63"/>
      <c r="C26" s="113"/>
      <c r="D26" s="63"/>
      <c r="E26" s="118"/>
      <c r="F26" s="63"/>
      <c r="G26" s="113"/>
      <c r="H26" s="63"/>
      <c r="I26" s="118"/>
      <c r="J26" s="63"/>
      <c r="K26" s="113"/>
      <c r="L26" s="63"/>
      <c r="M26" s="113"/>
      <c r="N26" s="63"/>
      <c r="O26" s="113"/>
      <c r="P26" s="63"/>
      <c r="Q26" s="113"/>
      <c r="R26" s="63"/>
      <c r="S26" s="113"/>
      <c r="T26" s="63"/>
      <c r="U26" s="113"/>
      <c r="V26" s="63"/>
      <c r="W26" s="113"/>
      <c r="X26" s="63"/>
      <c r="Y26" s="113"/>
      <c r="Z26" s="63"/>
      <c r="AA26" s="113"/>
      <c r="AB26" s="63"/>
      <c r="AC26" s="113"/>
      <c r="AD26" s="63"/>
      <c r="AE26" s="113"/>
      <c r="AF26" s="63"/>
      <c r="AG26" s="113"/>
      <c r="AH26" s="63"/>
      <c r="AI26" s="113"/>
      <c r="AJ26" s="63"/>
      <c r="AK26" s="113"/>
      <c r="AL26" s="63"/>
      <c r="AM26" s="113"/>
      <c r="AN26" s="63"/>
      <c r="AO26" s="113"/>
      <c r="AP26" s="63"/>
      <c r="AQ26" s="113"/>
      <c r="AR26" s="63"/>
      <c r="AS26" s="113"/>
      <c r="AT26" s="63"/>
      <c r="AU26" s="113"/>
      <c r="AV26" s="63"/>
      <c r="AW26" s="113"/>
      <c r="AX26" s="63"/>
      <c r="AY26" s="113"/>
      <c r="AZ26" s="63"/>
      <c r="BA26" s="113"/>
      <c r="BB26" s="63"/>
      <c r="BC26" s="113"/>
      <c r="BD26" s="63"/>
      <c r="BE26" s="113"/>
      <c r="BF26" s="63"/>
      <c r="BG26" s="113"/>
      <c r="BH26" s="63"/>
      <c r="BI26" s="113"/>
      <c r="BJ26" s="63"/>
      <c r="BK26" s="113"/>
      <c r="BL26" s="63"/>
      <c r="BM26" s="113"/>
      <c r="BN26" s="63"/>
      <c r="BO26" s="113"/>
      <c r="BP26" s="63"/>
      <c r="BQ26" s="113"/>
      <c r="BR26" s="63"/>
      <c r="BS26" s="113"/>
      <c r="BT26" s="63"/>
      <c r="BU26" s="113"/>
      <c r="BV26" s="63"/>
      <c r="BW26" s="113"/>
      <c r="BX26" s="63"/>
      <c r="BY26" s="113"/>
      <c r="BZ26" s="63"/>
      <c r="CA26" s="113"/>
      <c r="CB26" s="63"/>
      <c r="CC26" s="113"/>
      <c r="CD26" s="63"/>
      <c r="CE26" s="113"/>
      <c r="CF26" s="63"/>
      <c r="CG26" s="113"/>
      <c r="CH26" s="63"/>
      <c r="CI26" s="113"/>
      <c r="CJ26" s="63"/>
      <c r="CK26" s="113"/>
      <c r="CL26" s="63"/>
      <c r="CM26" s="113"/>
      <c r="CN26" s="63"/>
      <c r="CO26" s="113"/>
      <c r="CP26" s="63"/>
      <c r="CQ26" s="113"/>
      <c r="CR26" s="63"/>
      <c r="CS26" s="113"/>
      <c r="CT26" s="63"/>
      <c r="CU26" s="113"/>
      <c r="CV26" s="63"/>
      <c r="CW26" s="113"/>
      <c r="CX26" s="64"/>
      <c r="CY26" s="114"/>
      <c r="CZ26" s="64"/>
      <c r="DA26" s="114"/>
      <c r="DB26" s="63"/>
      <c r="DC26" s="113"/>
      <c r="DD26" s="64"/>
      <c r="DE26" s="64"/>
      <c r="DF26" s="64"/>
      <c r="DG26" s="64"/>
      <c r="DH26" s="64"/>
      <c r="DI26" s="64"/>
      <c r="DJ26" s="64"/>
      <c r="DK26" s="64"/>
    </row>
    <row r="27" spans="1:115" ht="12.75">
      <c r="A27" s="108" t="s">
        <v>40</v>
      </c>
      <c r="B27" s="63"/>
      <c r="C27" s="113"/>
      <c r="D27" s="63"/>
      <c r="E27" s="118"/>
      <c r="F27" s="63"/>
      <c r="G27" s="113"/>
      <c r="H27" s="63"/>
      <c r="I27" s="118"/>
      <c r="J27" s="63"/>
      <c r="K27" s="113"/>
      <c r="L27" s="63"/>
      <c r="M27" s="113"/>
      <c r="N27" s="63"/>
      <c r="O27" s="113"/>
      <c r="P27" s="63"/>
      <c r="Q27" s="113"/>
      <c r="R27" s="63"/>
      <c r="S27" s="113"/>
      <c r="T27" s="63"/>
      <c r="U27" s="113"/>
      <c r="V27" s="63"/>
      <c r="W27" s="113"/>
      <c r="X27" s="63"/>
      <c r="Y27" s="113"/>
      <c r="Z27" s="63"/>
      <c r="AA27" s="113"/>
      <c r="AB27" s="63"/>
      <c r="AC27" s="113"/>
      <c r="AD27" s="63"/>
      <c r="AE27" s="113"/>
      <c r="AF27" s="63"/>
      <c r="AG27" s="113"/>
      <c r="AH27" s="63"/>
      <c r="AI27" s="113"/>
      <c r="AJ27" s="63"/>
      <c r="AK27" s="113"/>
      <c r="AL27" s="63"/>
      <c r="AM27" s="113"/>
      <c r="AN27" s="63"/>
      <c r="AO27" s="113"/>
      <c r="AP27" s="63"/>
      <c r="AQ27" s="113"/>
      <c r="AR27" s="63"/>
      <c r="AS27" s="113"/>
      <c r="AT27" s="63"/>
      <c r="AU27" s="113"/>
      <c r="AV27" s="63"/>
      <c r="AW27" s="113"/>
      <c r="AX27" s="63"/>
      <c r="AY27" s="113"/>
      <c r="AZ27" s="63"/>
      <c r="BA27" s="113"/>
      <c r="BB27" s="63"/>
      <c r="BC27" s="113"/>
      <c r="BD27" s="63"/>
      <c r="BE27" s="113"/>
      <c r="BF27" s="63"/>
      <c r="BG27" s="113"/>
      <c r="BH27" s="63"/>
      <c r="BI27" s="113"/>
      <c r="BJ27" s="63"/>
      <c r="BK27" s="113"/>
      <c r="BL27" s="63"/>
      <c r="BM27" s="113"/>
      <c r="BN27" s="63"/>
      <c r="BO27" s="113"/>
      <c r="BP27" s="63"/>
      <c r="BQ27" s="113"/>
      <c r="BR27" s="63"/>
      <c r="BS27" s="113"/>
      <c r="BT27" s="63"/>
      <c r="BU27" s="113"/>
      <c r="BV27" s="63"/>
      <c r="BW27" s="113"/>
      <c r="BX27" s="63"/>
      <c r="BY27" s="113"/>
      <c r="BZ27" s="63"/>
      <c r="CA27" s="113"/>
      <c r="CB27" s="63"/>
      <c r="CC27" s="113"/>
      <c r="CD27" s="63"/>
      <c r="CE27" s="113"/>
      <c r="CF27" s="63"/>
      <c r="CG27" s="113"/>
      <c r="CH27" s="63"/>
      <c r="CI27" s="113"/>
      <c r="CJ27" s="63"/>
      <c r="CK27" s="113"/>
      <c r="CL27" s="63"/>
      <c r="CM27" s="113"/>
      <c r="CN27" s="63"/>
      <c r="CO27" s="113"/>
      <c r="CP27" s="63"/>
      <c r="CQ27" s="113"/>
      <c r="CR27" s="63"/>
      <c r="CS27" s="113"/>
      <c r="CT27" s="63"/>
      <c r="CU27" s="113"/>
      <c r="CV27" s="63"/>
      <c r="CW27" s="113"/>
      <c r="CX27" s="64"/>
      <c r="CY27" s="114"/>
      <c r="CZ27" s="64"/>
      <c r="DA27" s="114"/>
      <c r="DB27" s="63"/>
      <c r="DC27" s="113"/>
      <c r="DD27" s="64"/>
      <c r="DE27" s="64"/>
      <c r="DF27" s="64"/>
      <c r="DG27" s="64"/>
      <c r="DH27" s="64"/>
      <c r="DI27" s="64"/>
      <c r="DJ27" s="64"/>
      <c r="DK27" s="64"/>
    </row>
    <row r="28" spans="1:115" ht="12.75">
      <c r="A28" s="61" t="s">
        <v>41</v>
      </c>
      <c r="B28" s="63">
        <f>+D28+F28+H28+J28+L28+N28+P28+R28+T28+V28+X28+Z28+AB28+AD28+AF28+AH28+AJ28+AL28+AN28+AP28+AR28+AT28+AV28+AX28+AZ28+BB28+BD28+BF28+BH28+BJ28+BL28+BN28+BP28+BR28+BT28+BV28+BX28+BZ28+CB28+CD28+CF28+CH28+CJ28+CL28+CN28+CP28+CR28+CT28+CV28+CX28+CZ28+DB28+DD28+DF28+DH28+DJ28</f>
        <v>40882661.02106</v>
      </c>
      <c r="C28" s="113">
        <f>+E28+G28+I28+K28+M28+O28+Q28+S28+U28+W28+Y28+AA28+AC28+AE28+AG28+AI28+AK28+AM28+AO28+AQ28+AS28+AU28+AW28+AY28+BA28+BC28+BE28+BG28+BI28+BK28+BM28+BO28+BQ28+BS28+BU28+BW28+BY28+CA28+CC28+CE28+CG28+CI28+CK28+CM28+CO28+CQ28+CS28+CU28+CW28+CY28+DA28+DC28+DE28+DG28+DI28+DK28</f>
        <v>75553975.335</v>
      </c>
      <c r="D28" s="63">
        <v>749270.791</v>
      </c>
      <c r="E28" s="118">
        <v>882082.036</v>
      </c>
      <c r="F28" s="63">
        <v>120603.46</v>
      </c>
      <c r="G28" s="113">
        <v>170909.823</v>
      </c>
      <c r="H28" s="63">
        <v>587753.009</v>
      </c>
      <c r="I28" s="118">
        <v>771083.764</v>
      </c>
      <c r="J28" s="63">
        <v>5175051.399</v>
      </c>
      <c r="K28" s="113">
        <v>5998897.93</v>
      </c>
      <c r="L28" s="63">
        <v>2904338.442</v>
      </c>
      <c r="M28" s="113">
        <v>4093343.642</v>
      </c>
      <c r="N28" s="63">
        <v>454345.635</v>
      </c>
      <c r="O28" s="113">
        <v>325375.198</v>
      </c>
      <c r="P28" s="63">
        <v>70135.2</v>
      </c>
      <c r="Q28" s="113">
        <v>119813.088</v>
      </c>
      <c r="R28" s="63">
        <v>1618459.579</v>
      </c>
      <c r="S28" s="113">
        <v>989053.614</v>
      </c>
      <c r="T28" s="63">
        <v>1200</v>
      </c>
      <c r="U28" s="113">
        <v>1816</v>
      </c>
      <c r="V28" s="63">
        <v>383641.257</v>
      </c>
      <c r="W28" s="113">
        <v>939112.208</v>
      </c>
      <c r="X28" s="63">
        <f>15159.189+54238.148</f>
        <v>69397.337</v>
      </c>
      <c r="Y28" s="113">
        <f>100913.824</f>
        <v>100913.824</v>
      </c>
      <c r="Z28" s="63">
        <v>293942.36</v>
      </c>
      <c r="AA28" s="113">
        <v>283255.821</v>
      </c>
      <c r="AB28" s="63">
        <v>1992175</v>
      </c>
      <c r="AC28" s="113">
        <f>1899051</f>
        <v>1899051</v>
      </c>
      <c r="AD28" s="63">
        <v>142920</v>
      </c>
      <c r="AE28" s="113">
        <v>144913.633</v>
      </c>
      <c r="AF28" s="63">
        <v>2871234.936</v>
      </c>
      <c r="AG28" s="113">
        <f>1811629.772</f>
        <v>1811629.772</v>
      </c>
      <c r="AH28" s="63">
        <v>304995.445</v>
      </c>
      <c r="AI28" s="113">
        <v>139773</v>
      </c>
      <c r="AJ28" s="63">
        <v>2477320.846</v>
      </c>
      <c r="AK28" s="113">
        <v>0</v>
      </c>
      <c r="AL28" s="63">
        <v>3879430.68</v>
      </c>
      <c r="AM28" s="113">
        <v>4271902.275</v>
      </c>
      <c r="AN28" s="63">
        <v>12497.617</v>
      </c>
      <c r="AO28" s="113">
        <v>98464</v>
      </c>
      <c r="AP28" s="63">
        <v>60748.13606</v>
      </c>
      <c r="AQ28" s="113">
        <v>49646.222</v>
      </c>
      <c r="AR28" s="63">
        <v>31200</v>
      </c>
      <c r="AS28" s="113">
        <v>40400</v>
      </c>
      <c r="AT28" s="63">
        <v>78214.259</v>
      </c>
      <c r="AU28" s="113">
        <v>60000</v>
      </c>
      <c r="AV28" s="63">
        <v>34333.379</v>
      </c>
      <c r="AW28" s="113">
        <v>0</v>
      </c>
      <c r="AX28" s="63">
        <v>207066.494</v>
      </c>
      <c r="AY28" s="113">
        <v>508370</v>
      </c>
      <c r="AZ28" s="63">
        <v>7000</v>
      </c>
      <c r="BA28" s="113">
        <v>8217</v>
      </c>
      <c r="BB28" s="63">
        <v>50605.199</v>
      </c>
      <c r="BC28" s="113">
        <v>64983</v>
      </c>
      <c r="BD28" s="63">
        <v>0</v>
      </c>
      <c r="BE28" s="113">
        <v>2049539.5</v>
      </c>
      <c r="BF28" s="63">
        <v>0</v>
      </c>
      <c r="BG28" s="113">
        <v>183886.329</v>
      </c>
      <c r="BH28" s="63">
        <v>0</v>
      </c>
      <c r="BI28" s="113">
        <v>1286365.873</v>
      </c>
      <c r="BJ28" s="63">
        <v>10399638.416</v>
      </c>
      <c r="BK28" s="113">
        <v>37945621.26</v>
      </c>
      <c r="BL28" s="63">
        <v>3481277</v>
      </c>
      <c r="BM28" s="113">
        <v>2450366</v>
      </c>
      <c r="BN28" s="63">
        <v>0</v>
      </c>
      <c r="BO28" s="113">
        <v>650492.18</v>
      </c>
      <c r="BP28" s="63">
        <v>0</v>
      </c>
      <c r="BQ28" s="113">
        <v>800338.8</v>
      </c>
      <c r="BR28" s="63">
        <v>693446.062</v>
      </c>
      <c r="BS28" s="113">
        <v>756735.786</v>
      </c>
      <c r="BT28" s="63">
        <v>272727</v>
      </c>
      <c r="BU28" s="113">
        <v>544644.862</v>
      </c>
      <c r="BV28" s="63">
        <v>0</v>
      </c>
      <c r="BW28" s="113">
        <v>564731.303</v>
      </c>
      <c r="BX28" s="63">
        <v>0</v>
      </c>
      <c r="BY28" s="113">
        <v>415781.25</v>
      </c>
      <c r="BZ28" s="63">
        <v>649264.761</v>
      </c>
      <c r="CA28" s="113">
        <v>594872.371</v>
      </c>
      <c r="CB28" s="63">
        <v>126252.483</v>
      </c>
      <c r="CC28" s="113">
        <v>160906.5</v>
      </c>
      <c r="CD28" s="63">
        <v>0</v>
      </c>
      <c r="CE28" s="113">
        <v>70553</v>
      </c>
      <c r="CF28" s="63">
        <v>0</v>
      </c>
      <c r="CG28" s="113">
        <v>54892.248</v>
      </c>
      <c r="CH28" s="63">
        <v>0</v>
      </c>
      <c r="CI28" s="113">
        <v>178222.409</v>
      </c>
      <c r="CJ28" s="63">
        <v>0</v>
      </c>
      <c r="CK28" s="113">
        <v>3000</v>
      </c>
      <c r="CL28" s="63">
        <v>25306.275</v>
      </c>
      <c r="CM28" s="113">
        <v>25684.614</v>
      </c>
      <c r="CN28" s="63">
        <v>0</v>
      </c>
      <c r="CO28" s="113">
        <v>475725</v>
      </c>
      <c r="CP28" s="63">
        <v>0</v>
      </c>
      <c r="CQ28" s="113">
        <v>1112271.116</v>
      </c>
      <c r="CR28" s="63">
        <v>213895.923</v>
      </c>
      <c r="CS28" s="113">
        <v>362564.336</v>
      </c>
      <c r="CT28" s="63">
        <v>283144.1</v>
      </c>
      <c r="CU28" s="113">
        <v>255474.479</v>
      </c>
      <c r="CV28" s="63">
        <v>0</v>
      </c>
      <c r="CW28" s="113">
        <v>49131.825</v>
      </c>
      <c r="CX28" s="63">
        <v>0</v>
      </c>
      <c r="CY28" s="113">
        <v>46741.309</v>
      </c>
      <c r="CZ28" s="63">
        <v>16004.739</v>
      </c>
      <c r="DA28" s="113">
        <v>18368.135</v>
      </c>
      <c r="DB28" s="63">
        <v>143823.802</v>
      </c>
      <c r="DC28" s="113">
        <v>442686</v>
      </c>
      <c r="DD28" s="63">
        <v>0</v>
      </c>
      <c r="DE28" s="63">
        <v>0</v>
      </c>
      <c r="DF28" s="63">
        <v>0</v>
      </c>
      <c r="DG28" s="63">
        <v>212895</v>
      </c>
      <c r="DH28" s="63">
        <v>0</v>
      </c>
      <c r="DI28" s="63">
        <v>12900</v>
      </c>
      <c r="DJ28" s="63">
        <v>0</v>
      </c>
      <c r="DK28" s="63">
        <v>55577</v>
      </c>
    </row>
    <row r="29" spans="1:115" ht="12.75">
      <c r="A29" s="61" t="s">
        <v>42</v>
      </c>
      <c r="B29" s="63">
        <f>+D29+F29+H29+J29+L29+N29+P29+R29+T29+V29+X29+Z29+AB29+AD29+AF29+AH29+AJ29+AL29+AN29+AP29+AR29+AT29+AV29+AX29+AZ29+BB29+BD29+BF29+BH29+BJ29+BL29+BN29+BP29+BR29+BT29+BV29+BX29+BZ29+CB29+CD29+CF29+CH29+CJ29+CL29+CN29+CP29+CR29+CT29+CV29+CX29+CZ29+DB29+DD29+DF29+DH29+DJ29</f>
        <v>5683499.03115</v>
      </c>
      <c r="C29" s="113">
        <f>+E29+G29+I29+K29+M29+O29+Q29+S29+U29+W29+Y29+AA29+AC29+AE29+AG29+AI29+AK29+AM29+AO29+AQ29+AS29+AU29+AW29+AY29+BA29+BC29+BE29+BG29+BI29+BK29+BM29+BO29+BQ29+BS29+BU29+BW29+BY29+CA29+CC29+CE29+CG29+CI29+CK29+CM29+CO29+CQ29+CS29+CU29+CW29+CY29+DA29+DC29+DE29+DG29+DI29+DK29</f>
        <v>7563703.841</v>
      </c>
      <c r="D29" s="63">
        <v>529112.582</v>
      </c>
      <c r="E29" s="118">
        <v>735929.076</v>
      </c>
      <c r="F29" s="63">
        <v>0</v>
      </c>
      <c r="G29" s="113">
        <v>0</v>
      </c>
      <c r="H29" s="63">
        <v>14052.873</v>
      </c>
      <c r="I29" s="118">
        <v>0</v>
      </c>
      <c r="J29" s="63">
        <f>68911.536+58608.783</f>
        <v>127520.31899999999</v>
      </c>
      <c r="K29" s="113">
        <f>54042.502+77259.073</f>
        <v>131301.575</v>
      </c>
      <c r="L29" s="63">
        <v>198524.133</v>
      </c>
      <c r="M29" s="113">
        <v>193630.478</v>
      </c>
      <c r="N29" s="63">
        <v>799.284</v>
      </c>
      <c r="O29" s="113">
        <f>1483.413</f>
        <v>1483.413</v>
      </c>
      <c r="P29" s="63">
        <f>98104.886+368.353</f>
        <v>98473.239</v>
      </c>
      <c r="Q29" s="113">
        <v>0</v>
      </c>
      <c r="R29" s="63">
        <v>5861.293</v>
      </c>
      <c r="S29" s="113">
        <v>29595.323</v>
      </c>
      <c r="T29" s="63">
        <v>2457</v>
      </c>
      <c r="U29" s="113">
        <v>1730</v>
      </c>
      <c r="V29" s="63">
        <v>44232.725</v>
      </c>
      <c r="W29" s="113">
        <v>192272.251</v>
      </c>
      <c r="X29" s="63">
        <v>47287.779</v>
      </c>
      <c r="Y29" s="113">
        <v>0</v>
      </c>
      <c r="Z29" s="63">
        <v>10274.1278</v>
      </c>
      <c r="AA29" s="113">
        <f>775.254</f>
        <v>775.254</v>
      </c>
      <c r="AB29" s="63">
        <v>86527</v>
      </c>
      <c r="AC29" s="113">
        <v>128703</v>
      </c>
      <c r="AD29" s="63">
        <v>0</v>
      </c>
      <c r="AE29" s="113">
        <v>0</v>
      </c>
      <c r="AF29" s="63">
        <v>18204.04035</v>
      </c>
      <c r="AG29" s="113">
        <v>37969.55</v>
      </c>
      <c r="AH29" s="63">
        <v>2.583</v>
      </c>
      <c r="AI29" s="113">
        <v>2.384</v>
      </c>
      <c r="AJ29" s="63">
        <v>0</v>
      </c>
      <c r="AK29" s="113">
        <v>0</v>
      </c>
      <c r="AL29" s="63">
        <f>47801.879+79208.821</f>
        <v>127010.7</v>
      </c>
      <c r="AM29" s="113">
        <f>129868.177+53554.156</f>
        <v>183422.33299999998</v>
      </c>
      <c r="AN29" s="63">
        <v>0</v>
      </c>
      <c r="AO29" s="113">
        <v>0</v>
      </c>
      <c r="AP29" s="63">
        <v>0</v>
      </c>
      <c r="AQ29" s="113">
        <v>0</v>
      </c>
      <c r="AR29" s="63">
        <v>229.749</v>
      </c>
      <c r="AS29" s="113">
        <v>5.752</v>
      </c>
      <c r="AT29" s="63">
        <v>0</v>
      </c>
      <c r="AU29" s="113">
        <v>360</v>
      </c>
      <c r="AV29" s="63">
        <v>800.138</v>
      </c>
      <c r="AW29" s="113">
        <v>0</v>
      </c>
      <c r="AX29" s="63">
        <v>0</v>
      </c>
      <c r="AY29" s="113">
        <v>0</v>
      </c>
      <c r="AZ29" s="63">
        <v>81073</v>
      </c>
      <c r="BA29" s="113">
        <v>0</v>
      </c>
      <c r="BB29" s="63">
        <v>0</v>
      </c>
      <c r="BC29" s="113">
        <v>0</v>
      </c>
      <c r="BD29" s="63">
        <v>0</v>
      </c>
      <c r="BE29" s="113">
        <v>122361.597</v>
      </c>
      <c r="BF29" s="63">
        <v>0</v>
      </c>
      <c r="BG29" s="113">
        <v>0</v>
      </c>
      <c r="BH29" s="63">
        <v>0</v>
      </c>
      <c r="BI29" s="113">
        <f>7185.757</f>
        <v>7185.757</v>
      </c>
      <c r="BJ29" s="63">
        <v>2411234.95</v>
      </c>
      <c r="BK29" s="113">
        <v>3835826.819</v>
      </c>
      <c r="BL29" s="63">
        <v>1838504</v>
      </c>
      <c r="BM29" s="113">
        <v>1947676</v>
      </c>
      <c r="BN29" s="63">
        <v>0</v>
      </c>
      <c r="BO29" s="113">
        <v>0</v>
      </c>
      <c r="BP29" s="63">
        <v>0</v>
      </c>
      <c r="BQ29" s="113">
        <v>0</v>
      </c>
      <c r="BR29" s="63">
        <v>3742.476</v>
      </c>
      <c r="BS29" s="113">
        <v>525.509</v>
      </c>
      <c r="BT29" s="63">
        <v>0</v>
      </c>
      <c r="BU29" s="113">
        <v>0</v>
      </c>
      <c r="BV29" s="63">
        <v>0</v>
      </c>
      <c r="BW29" s="113">
        <v>1435.405</v>
      </c>
      <c r="BX29" s="63">
        <v>0</v>
      </c>
      <c r="BY29" s="113">
        <v>0</v>
      </c>
      <c r="BZ29" s="63">
        <f>491</f>
        <v>491</v>
      </c>
      <c r="CA29" s="113">
        <v>0</v>
      </c>
      <c r="CB29" s="63">
        <v>28201.847</v>
      </c>
      <c r="CC29" s="113">
        <v>6871.081</v>
      </c>
      <c r="CD29" s="63">
        <v>0</v>
      </c>
      <c r="CE29" s="113">
        <v>0</v>
      </c>
      <c r="CF29" s="63">
        <v>0</v>
      </c>
      <c r="CG29" s="113">
        <v>0</v>
      </c>
      <c r="CH29" s="63">
        <v>0</v>
      </c>
      <c r="CI29" s="113">
        <v>0</v>
      </c>
      <c r="CJ29" s="63">
        <v>0</v>
      </c>
      <c r="CK29" s="113">
        <v>0</v>
      </c>
      <c r="CL29" s="63">
        <v>420.264</v>
      </c>
      <c r="CM29" s="113">
        <v>423.861</v>
      </c>
      <c r="CN29" s="63">
        <v>0</v>
      </c>
      <c r="CO29" s="113">
        <v>0</v>
      </c>
      <c r="CP29" s="63">
        <v>0</v>
      </c>
      <c r="CQ29" s="113">
        <v>0</v>
      </c>
      <c r="CR29" s="63">
        <v>7369.336</v>
      </c>
      <c r="CS29" s="113">
        <v>3071.966</v>
      </c>
      <c r="CT29" s="63">
        <v>147.3</v>
      </c>
      <c r="CU29" s="113">
        <v>1.057</v>
      </c>
      <c r="CV29" s="63">
        <v>0</v>
      </c>
      <c r="CW29" s="113">
        <v>116.8</v>
      </c>
      <c r="CX29" s="63">
        <v>0</v>
      </c>
      <c r="CY29" s="113">
        <v>0.591</v>
      </c>
      <c r="CZ29" s="63">
        <v>764.589</v>
      </c>
      <c r="DA29" s="113">
        <v>1027.009</v>
      </c>
      <c r="DB29" s="63">
        <v>180.704</v>
      </c>
      <c r="DC29" s="113">
        <v>0</v>
      </c>
      <c r="DD29" s="63">
        <v>0</v>
      </c>
      <c r="DE29" s="63">
        <v>0</v>
      </c>
      <c r="DF29" s="63">
        <v>0</v>
      </c>
      <c r="DG29" s="64">
        <v>0</v>
      </c>
      <c r="DH29" s="63">
        <v>0</v>
      </c>
      <c r="DI29" s="63">
        <v>0</v>
      </c>
      <c r="DJ29" s="63">
        <v>0</v>
      </c>
      <c r="DK29" s="63">
        <v>0</v>
      </c>
    </row>
    <row r="30" spans="1:115" ht="12.75">
      <c r="A30" s="108" t="s">
        <v>43</v>
      </c>
      <c r="B30" s="64">
        <f aca="true" t="shared" si="43" ref="B30:G30">SUM(B28:B29)</f>
        <v>46566160.052209996</v>
      </c>
      <c r="C30" s="114">
        <f t="shared" si="43"/>
        <v>83117679.176</v>
      </c>
      <c r="D30" s="64">
        <f t="shared" si="43"/>
        <v>1278383.3730000001</v>
      </c>
      <c r="E30" s="117">
        <f t="shared" si="43"/>
        <v>1618011.112</v>
      </c>
      <c r="F30" s="64">
        <f t="shared" si="43"/>
        <v>120603.46</v>
      </c>
      <c r="G30" s="114">
        <f t="shared" si="43"/>
        <v>170909.823</v>
      </c>
      <c r="H30" s="64">
        <f aca="true" t="shared" si="44" ref="H30:AF30">SUM(H28:H29)</f>
        <v>601805.882</v>
      </c>
      <c r="I30" s="117">
        <f>SUM(I28:I29)</f>
        <v>771083.764</v>
      </c>
      <c r="J30" s="64">
        <f t="shared" si="44"/>
        <v>5302571.718</v>
      </c>
      <c r="K30" s="114">
        <f>SUM(K28:K29)</f>
        <v>6130199.505</v>
      </c>
      <c r="L30" s="64">
        <f t="shared" si="44"/>
        <v>3102862.5749999997</v>
      </c>
      <c r="M30" s="114">
        <f>SUM(M28:M29)</f>
        <v>4286974.12</v>
      </c>
      <c r="N30" s="64">
        <f t="shared" si="44"/>
        <v>455144.919</v>
      </c>
      <c r="O30" s="114">
        <f>SUM(O28:O29)</f>
        <v>326858.611</v>
      </c>
      <c r="P30" s="64">
        <f t="shared" si="44"/>
        <v>168608.439</v>
      </c>
      <c r="Q30" s="114">
        <f>SUM(Q28:Q29)</f>
        <v>119813.088</v>
      </c>
      <c r="R30" s="64">
        <f t="shared" si="44"/>
        <v>1624320.872</v>
      </c>
      <c r="S30" s="114">
        <f>SUM(S28:S29)</f>
        <v>1018648.9369999999</v>
      </c>
      <c r="T30" s="64">
        <f t="shared" si="44"/>
        <v>3657</v>
      </c>
      <c r="U30" s="114">
        <f>SUM(U28:U29)</f>
        <v>3546</v>
      </c>
      <c r="V30" s="64">
        <f t="shared" si="44"/>
        <v>427873.98199999996</v>
      </c>
      <c r="W30" s="114">
        <f>SUM(W28:W29)</f>
        <v>1131384.459</v>
      </c>
      <c r="X30" s="64">
        <f t="shared" si="44"/>
        <v>116685.11600000001</v>
      </c>
      <c r="Y30" s="114">
        <f>SUM(Y28:Y29)</f>
        <v>100913.824</v>
      </c>
      <c r="Z30" s="64">
        <f t="shared" si="44"/>
        <v>304216.4878</v>
      </c>
      <c r="AA30" s="114">
        <f>SUM(AA28:AA29)</f>
        <v>284031.075</v>
      </c>
      <c r="AB30" s="64">
        <f t="shared" si="44"/>
        <v>2078702</v>
      </c>
      <c r="AC30" s="114">
        <f>SUM(AC28:AC29)</f>
        <v>2027754</v>
      </c>
      <c r="AD30" s="64">
        <f t="shared" si="44"/>
        <v>142920</v>
      </c>
      <c r="AE30" s="114">
        <f>SUM(AE28:AE29)</f>
        <v>144913.633</v>
      </c>
      <c r="AF30" s="64">
        <f t="shared" si="44"/>
        <v>2889438.97635</v>
      </c>
      <c r="AG30" s="114">
        <f>SUM(AG28:AG29)</f>
        <v>1849599.3220000002</v>
      </c>
      <c r="AH30" s="64">
        <f aca="true" t="shared" si="45" ref="AH30:AX30">SUM(AH28:AH29)</f>
        <v>304998.028</v>
      </c>
      <c r="AI30" s="114">
        <f t="shared" si="45"/>
        <v>139775.384</v>
      </c>
      <c r="AJ30" s="64">
        <f t="shared" si="45"/>
        <v>2477320.846</v>
      </c>
      <c r="AK30" s="114">
        <f>SUM(AK28:AK29)</f>
        <v>0</v>
      </c>
      <c r="AL30" s="64">
        <f t="shared" si="45"/>
        <v>4006441.3800000004</v>
      </c>
      <c r="AM30" s="114">
        <f>SUM(AM28:AM29)</f>
        <v>4455324.608</v>
      </c>
      <c r="AN30" s="64">
        <f t="shared" si="45"/>
        <v>12497.617</v>
      </c>
      <c r="AO30" s="114">
        <f>SUM(AO28:AO29)</f>
        <v>98464</v>
      </c>
      <c r="AP30" s="64">
        <f t="shared" si="45"/>
        <v>60748.13606</v>
      </c>
      <c r="AQ30" s="114">
        <f>SUM(AQ28:AQ29)</f>
        <v>49646.222</v>
      </c>
      <c r="AR30" s="64">
        <f t="shared" si="45"/>
        <v>31429.749</v>
      </c>
      <c r="AS30" s="114">
        <f>SUM(AS28:AS29)</f>
        <v>40405.752</v>
      </c>
      <c r="AT30" s="64">
        <f t="shared" si="45"/>
        <v>78214.259</v>
      </c>
      <c r="AU30" s="114">
        <f>SUM(AU28:AU29)</f>
        <v>60360</v>
      </c>
      <c r="AV30" s="64">
        <f t="shared" si="45"/>
        <v>35133.517</v>
      </c>
      <c r="AW30" s="114">
        <f>SUM(AW28:AW29)</f>
        <v>0</v>
      </c>
      <c r="AX30" s="64">
        <f t="shared" si="45"/>
        <v>207066.494</v>
      </c>
      <c r="AY30" s="114">
        <f>SUM(AY28:AY29)</f>
        <v>508370</v>
      </c>
      <c r="AZ30" s="64">
        <f>SUM(AZ28:AZ29)</f>
        <v>88073</v>
      </c>
      <c r="BA30" s="114">
        <f>SUM(BA28:BA29)</f>
        <v>8217</v>
      </c>
      <c r="BB30" s="64">
        <f>SUM(BB28:BB29)</f>
        <v>50605.199</v>
      </c>
      <c r="BC30" s="114">
        <f>SUM(BC28:BC29)</f>
        <v>64983</v>
      </c>
      <c r="BD30" s="64">
        <f aca="true" t="shared" si="46" ref="BD30:BK30">SUM(BD28:BD29)</f>
        <v>0</v>
      </c>
      <c r="BE30" s="114">
        <f t="shared" si="46"/>
        <v>2171901.097</v>
      </c>
      <c r="BF30" s="64">
        <f t="shared" si="46"/>
        <v>0</v>
      </c>
      <c r="BG30" s="114">
        <f t="shared" si="46"/>
        <v>183886.329</v>
      </c>
      <c r="BH30" s="64">
        <f t="shared" si="46"/>
        <v>0</v>
      </c>
      <c r="BI30" s="114">
        <f t="shared" si="46"/>
        <v>1293551.63</v>
      </c>
      <c r="BJ30" s="64">
        <f t="shared" si="46"/>
        <v>12810873.366</v>
      </c>
      <c r="BK30" s="114">
        <f t="shared" si="46"/>
        <v>41781448.078999996</v>
      </c>
      <c r="BL30" s="64">
        <f aca="true" t="shared" si="47" ref="BL30:BQ30">SUM(BL28:BL29)</f>
        <v>5319781</v>
      </c>
      <c r="BM30" s="114">
        <f t="shared" si="47"/>
        <v>4398042</v>
      </c>
      <c r="BN30" s="64">
        <f t="shared" si="47"/>
        <v>0</v>
      </c>
      <c r="BO30" s="114">
        <f t="shared" si="47"/>
        <v>650492.18</v>
      </c>
      <c r="BP30" s="64">
        <f t="shared" si="47"/>
        <v>0</v>
      </c>
      <c r="BQ30" s="114">
        <f t="shared" si="47"/>
        <v>800338.8</v>
      </c>
      <c r="BR30" s="64">
        <f aca="true" t="shared" si="48" ref="BR30:BW30">SUM(BR28:BR29)</f>
        <v>697188.5380000001</v>
      </c>
      <c r="BS30" s="114">
        <f t="shared" si="48"/>
        <v>757261.2949999999</v>
      </c>
      <c r="BT30" s="64">
        <f t="shared" si="48"/>
        <v>272727</v>
      </c>
      <c r="BU30" s="114">
        <f t="shared" si="48"/>
        <v>544644.862</v>
      </c>
      <c r="BV30" s="64">
        <f t="shared" si="48"/>
        <v>0</v>
      </c>
      <c r="BW30" s="114">
        <f t="shared" si="48"/>
        <v>566166.708</v>
      </c>
      <c r="BX30" s="64">
        <f>SUM(BX28:BX29)</f>
        <v>0</v>
      </c>
      <c r="BY30" s="114">
        <f>SUM(BY28:BY29)</f>
        <v>415781.25</v>
      </c>
      <c r="BZ30" s="64">
        <f aca="true" t="shared" si="49" ref="BZ30:CE30">SUM(BZ28:BZ29)</f>
        <v>649755.761</v>
      </c>
      <c r="CA30" s="114">
        <f t="shared" si="49"/>
        <v>594872.371</v>
      </c>
      <c r="CB30" s="64">
        <f t="shared" si="49"/>
        <v>154454.33</v>
      </c>
      <c r="CC30" s="114">
        <f t="shared" si="49"/>
        <v>167777.581</v>
      </c>
      <c r="CD30" s="64">
        <f t="shared" si="49"/>
        <v>0</v>
      </c>
      <c r="CE30" s="114">
        <f t="shared" si="49"/>
        <v>70553</v>
      </c>
      <c r="CF30" s="64">
        <f aca="true" t="shared" si="50" ref="CF30:CS30">SUM(CF28:CF29)</f>
        <v>0</v>
      </c>
      <c r="CG30" s="114">
        <f t="shared" si="50"/>
        <v>54892.248</v>
      </c>
      <c r="CH30" s="64">
        <f t="shared" si="50"/>
        <v>0</v>
      </c>
      <c r="CI30" s="114">
        <f t="shared" si="50"/>
        <v>178222.409</v>
      </c>
      <c r="CJ30" s="64">
        <f t="shared" si="50"/>
        <v>0</v>
      </c>
      <c r="CK30" s="114">
        <f t="shared" si="50"/>
        <v>3000</v>
      </c>
      <c r="CL30" s="64">
        <f t="shared" si="50"/>
        <v>25726.539</v>
      </c>
      <c r="CM30" s="114">
        <f t="shared" si="50"/>
        <v>26108.475000000002</v>
      </c>
      <c r="CN30" s="64">
        <f t="shared" si="50"/>
        <v>0</v>
      </c>
      <c r="CO30" s="114">
        <f t="shared" si="50"/>
        <v>475725</v>
      </c>
      <c r="CP30" s="64">
        <f t="shared" si="50"/>
        <v>0</v>
      </c>
      <c r="CQ30" s="114">
        <f t="shared" si="50"/>
        <v>1112271.116</v>
      </c>
      <c r="CR30" s="64">
        <f t="shared" si="50"/>
        <v>221265.25900000002</v>
      </c>
      <c r="CS30" s="114">
        <f t="shared" si="50"/>
        <v>365636.302</v>
      </c>
      <c r="CT30" s="64">
        <f aca="true" t="shared" si="51" ref="CT30:DA30">SUM(CT28:CT29)</f>
        <v>283291.39999999997</v>
      </c>
      <c r="CU30" s="114">
        <f t="shared" si="51"/>
        <v>255475.536</v>
      </c>
      <c r="CV30" s="64">
        <f t="shared" si="51"/>
        <v>0</v>
      </c>
      <c r="CW30" s="114">
        <f t="shared" si="51"/>
        <v>49248.625</v>
      </c>
      <c r="CX30" s="64">
        <f t="shared" si="51"/>
        <v>0</v>
      </c>
      <c r="CY30" s="114">
        <f t="shared" si="51"/>
        <v>46741.9</v>
      </c>
      <c r="CZ30" s="64">
        <f t="shared" si="51"/>
        <v>16769.328</v>
      </c>
      <c r="DA30" s="114">
        <f t="shared" si="51"/>
        <v>19395.144</v>
      </c>
      <c r="DB30" s="64">
        <f aca="true" t="shared" si="52" ref="DB30:DG30">SUM(DB28:DB29)</f>
        <v>144004.506</v>
      </c>
      <c r="DC30" s="114">
        <f t="shared" si="52"/>
        <v>442686</v>
      </c>
      <c r="DD30" s="64">
        <f t="shared" si="52"/>
        <v>0</v>
      </c>
      <c r="DE30" s="64">
        <f t="shared" si="52"/>
        <v>0</v>
      </c>
      <c r="DF30" s="64">
        <f t="shared" si="52"/>
        <v>0</v>
      </c>
      <c r="DG30" s="64">
        <f t="shared" si="52"/>
        <v>212895</v>
      </c>
      <c r="DH30" s="64">
        <f>SUM(DH28:DH29)</f>
        <v>0</v>
      </c>
      <c r="DI30" s="64">
        <f>SUM(DI28:DI29)</f>
        <v>12900</v>
      </c>
      <c r="DJ30" s="64">
        <f>SUM(DJ28:DJ29)</f>
        <v>0</v>
      </c>
      <c r="DK30" s="64">
        <f>SUM(DK28:DK29)</f>
        <v>55577</v>
      </c>
    </row>
    <row r="31" spans="1:115" ht="12.75">
      <c r="A31" s="108" t="s">
        <v>47</v>
      </c>
      <c r="B31" s="63"/>
      <c r="C31" s="113"/>
      <c r="D31" s="63"/>
      <c r="E31" s="118"/>
      <c r="F31" s="63"/>
      <c r="G31" s="113"/>
      <c r="H31" s="63"/>
      <c r="I31" s="118"/>
      <c r="J31" s="63"/>
      <c r="K31" s="113"/>
      <c r="L31" s="63"/>
      <c r="M31" s="113"/>
      <c r="N31" s="63"/>
      <c r="O31" s="113"/>
      <c r="P31" s="63"/>
      <c r="Q31" s="113"/>
      <c r="R31" s="63"/>
      <c r="S31" s="113"/>
      <c r="T31" s="63"/>
      <c r="U31" s="113"/>
      <c r="V31" s="63"/>
      <c r="W31" s="113"/>
      <c r="X31" s="63"/>
      <c r="Y31" s="113"/>
      <c r="Z31" s="63"/>
      <c r="AA31" s="113"/>
      <c r="AB31" s="63"/>
      <c r="AC31" s="113"/>
      <c r="AD31" s="63"/>
      <c r="AE31" s="113"/>
      <c r="AF31" s="63"/>
      <c r="AG31" s="113"/>
      <c r="AH31" s="63"/>
      <c r="AI31" s="113"/>
      <c r="AJ31" s="63"/>
      <c r="AK31" s="113"/>
      <c r="AL31" s="63"/>
      <c r="AM31" s="113"/>
      <c r="AN31" s="63"/>
      <c r="AO31" s="113"/>
      <c r="AP31" s="63"/>
      <c r="AQ31" s="113"/>
      <c r="AR31" s="63"/>
      <c r="AS31" s="113"/>
      <c r="AT31" s="63"/>
      <c r="AU31" s="113"/>
      <c r="AV31" s="63"/>
      <c r="AW31" s="113"/>
      <c r="AX31" s="63"/>
      <c r="AY31" s="113"/>
      <c r="AZ31" s="63"/>
      <c r="BA31" s="113"/>
      <c r="BB31" s="63"/>
      <c r="BC31" s="113"/>
      <c r="BD31" s="63"/>
      <c r="BE31" s="113"/>
      <c r="BF31" s="63"/>
      <c r="BG31" s="113"/>
      <c r="BH31" s="63"/>
      <c r="BI31" s="113"/>
      <c r="BJ31" s="63"/>
      <c r="BK31" s="113"/>
      <c r="BL31" s="63"/>
      <c r="BM31" s="113"/>
      <c r="BN31" s="63"/>
      <c r="BO31" s="113"/>
      <c r="BP31" s="63"/>
      <c r="BQ31" s="113"/>
      <c r="BR31" s="63"/>
      <c r="BS31" s="113"/>
      <c r="BT31" s="63"/>
      <c r="BU31" s="113"/>
      <c r="BV31" s="63"/>
      <c r="BW31" s="113"/>
      <c r="BX31" s="63"/>
      <c r="BY31" s="113"/>
      <c r="BZ31" s="63"/>
      <c r="CA31" s="113"/>
      <c r="CB31" s="63"/>
      <c r="CC31" s="113"/>
      <c r="CD31" s="63"/>
      <c r="CE31" s="113"/>
      <c r="CF31" s="63"/>
      <c r="CG31" s="113"/>
      <c r="CH31" s="63"/>
      <c r="CI31" s="113"/>
      <c r="CJ31" s="63"/>
      <c r="CK31" s="113"/>
      <c r="CL31" s="63"/>
      <c r="CM31" s="113"/>
      <c r="CN31" s="63"/>
      <c r="CO31" s="113"/>
      <c r="CP31" s="63"/>
      <c r="CQ31" s="113"/>
      <c r="CR31" s="63"/>
      <c r="CS31" s="113"/>
      <c r="CT31" s="63"/>
      <c r="CU31" s="113"/>
      <c r="CV31" s="63"/>
      <c r="CW31" s="113"/>
      <c r="CX31" s="64"/>
      <c r="CY31" s="114"/>
      <c r="CZ31" s="64"/>
      <c r="DA31" s="114"/>
      <c r="DB31" s="63"/>
      <c r="DC31" s="113"/>
      <c r="DD31" s="64"/>
      <c r="DE31" s="64"/>
      <c r="DF31" s="64"/>
      <c r="DG31" s="64">
        <v>0</v>
      </c>
      <c r="DH31" s="64"/>
      <c r="DI31" s="64"/>
      <c r="DJ31" s="64"/>
      <c r="DK31" s="64"/>
    </row>
    <row r="32" spans="1:115" ht="12.75">
      <c r="A32" s="61" t="s">
        <v>73</v>
      </c>
      <c r="B32" s="63">
        <f aca="true" t="shared" si="53" ref="B32:C34">+D32+F32+H32+J32+L32+N32+P32+R32+T32+V32+X32+Z32+AB32+AD32+AF32+AH32+AJ32+AL32+AN32+AP32+AR32+AT32+AV32+AX32+AZ32+BB32+BD32+BF32+BH32+BJ32+BL32+BN32+BP32+BR32+BT32+BV32+BX32+BZ32+CB32+CD32+CF32+CH32+CJ32+CL32+CN32+CP32+CR32+CT32+CV32+CX32+CZ32+DB32+DD32+DF32+DH32+DJ32</f>
        <v>40358311.63732001</v>
      </c>
      <c r="C32" s="113">
        <f t="shared" si="53"/>
        <v>70090203.02599998</v>
      </c>
      <c r="D32" s="63">
        <v>1000610.064</v>
      </c>
      <c r="E32" s="118">
        <f>1013888.53</f>
        <v>1013888.53</v>
      </c>
      <c r="F32" s="63">
        <f>38054.675+81907.173</f>
        <v>119961.848</v>
      </c>
      <c r="G32" s="113">
        <f>22993.713+139956.995</f>
        <v>162950.70799999998</v>
      </c>
      <c r="H32" s="63">
        <v>577715.02</v>
      </c>
      <c r="I32" s="118">
        <v>745495.289</v>
      </c>
      <c r="J32" s="63">
        <v>4794124.227</v>
      </c>
      <c r="K32" s="113">
        <v>5191172.464</v>
      </c>
      <c r="L32" s="63">
        <f>2065022.146+685596.231+63928.987</f>
        <v>2814547.364</v>
      </c>
      <c r="M32" s="113">
        <f>2927888.67+685982.443+111042.517</f>
        <v>3724913.63</v>
      </c>
      <c r="N32" s="63">
        <f>57589.122+386571.91</f>
        <v>444161.032</v>
      </c>
      <c r="O32" s="113">
        <f>42991.947+253513.852</f>
        <v>296505.799</v>
      </c>
      <c r="P32" s="63">
        <f>73623.383+90164.56943</f>
        <v>163787.95243</v>
      </c>
      <c r="Q32" s="113">
        <v>43624.184</v>
      </c>
      <c r="R32" s="63">
        <f>918822.845+473035.887</f>
        <v>1391858.7319999998</v>
      </c>
      <c r="S32" s="113">
        <f>536132.208+408576.234</f>
        <v>944708.442</v>
      </c>
      <c r="T32" s="63">
        <v>677</v>
      </c>
      <c r="U32" s="113">
        <v>926.4</v>
      </c>
      <c r="V32" s="63">
        <f>121363.127+211818.28239+1098.4</f>
        <v>334279.80939</v>
      </c>
      <c r="W32" s="113">
        <f>682532.894+348597.273</f>
        <v>1031130.1669999999</v>
      </c>
      <c r="X32" s="63">
        <f>8679.184+26166.817</f>
        <v>34846.001</v>
      </c>
      <c r="Y32" s="113">
        <f>7916.22+5239.556+49087.407</f>
        <v>62243.183</v>
      </c>
      <c r="Z32" s="63">
        <f>38956.618+241615.38132</f>
        <v>280571.99932</v>
      </c>
      <c r="AA32" s="113">
        <f>19452.404+223666.529</f>
        <v>243118.93300000002</v>
      </c>
      <c r="AB32" s="63">
        <f>1382600+320852</f>
        <v>1703452</v>
      </c>
      <c r="AC32" s="113">
        <f>1345487+401487</f>
        <v>1746974</v>
      </c>
      <c r="AD32" s="63">
        <v>126633.327</v>
      </c>
      <c r="AE32" s="113">
        <v>129712.482</v>
      </c>
      <c r="AF32" s="63">
        <f>846205.24907+1792447.25745</f>
        <v>2638652.50652</v>
      </c>
      <c r="AG32" s="113">
        <f>382985.959+1339028.96</f>
        <v>1722014.919</v>
      </c>
      <c r="AH32" s="63">
        <v>235062.819</v>
      </c>
      <c r="AI32" s="113">
        <v>125371.753</v>
      </c>
      <c r="AJ32" s="63">
        <v>2370832.455</v>
      </c>
      <c r="AK32" s="113">
        <v>0</v>
      </c>
      <c r="AL32" s="63">
        <v>3519698.028</v>
      </c>
      <c r="AM32" s="113">
        <v>4047882.229</v>
      </c>
      <c r="AN32" s="63">
        <v>9840.742</v>
      </c>
      <c r="AO32" s="113">
        <f>82835.646</f>
        <v>82835.646</v>
      </c>
      <c r="AP32" s="63">
        <v>52582.55266</v>
      </c>
      <c r="AQ32" s="113">
        <v>49195.579</v>
      </c>
      <c r="AR32" s="63">
        <v>47610.4</v>
      </c>
      <c r="AS32" s="113">
        <v>33884.96</v>
      </c>
      <c r="AT32" s="63">
        <v>103363.725</v>
      </c>
      <c r="AU32" s="113">
        <v>80589</v>
      </c>
      <c r="AV32" s="63">
        <v>28983.254</v>
      </c>
      <c r="AW32" s="113">
        <v>0</v>
      </c>
      <c r="AX32" s="63">
        <f>124239.896+61413.989</f>
        <v>185653.885</v>
      </c>
      <c r="AY32" s="113">
        <f>306246+157517</f>
        <v>463763</v>
      </c>
      <c r="AZ32" s="63">
        <v>87923.18</v>
      </c>
      <c r="BA32" s="113">
        <v>98156.294</v>
      </c>
      <c r="BB32" s="63">
        <v>44656.355</v>
      </c>
      <c r="BC32" s="113">
        <v>56717.602</v>
      </c>
      <c r="BD32" s="63">
        <v>0</v>
      </c>
      <c r="BE32" s="113">
        <f>1502187.61+444803.893</f>
        <v>1946991.503</v>
      </c>
      <c r="BF32" s="63">
        <v>0</v>
      </c>
      <c r="BG32" s="113">
        <f>36243.336+82408.467</f>
        <v>118651.80300000001</v>
      </c>
      <c r="BH32" s="63">
        <v>0</v>
      </c>
      <c r="BI32" s="113">
        <v>1067126.359</v>
      </c>
      <c r="BJ32" s="63">
        <f>4326612.739+7661063.042</f>
        <v>11987675.781</v>
      </c>
      <c r="BK32" s="113">
        <f>32549376.907+2210940.314</f>
        <v>34760317.221</v>
      </c>
      <c r="BL32" s="63">
        <f>2314193+810956</f>
        <v>3125149</v>
      </c>
      <c r="BM32" s="113">
        <f>2458253+689818</f>
        <v>3148071</v>
      </c>
      <c r="BN32" s="63">
        <v>0</v>
      </c>
      <c r="BO32" s="113">
        <f>403773.656+63967.099+153968.125</f>
        <v>621708.88</v>
      </c>
      <c r="BP32" s="63">
        <v>0</v>
      </c>
      <c r="BQ32" s="113">
        <f>315090.759+244426.48</f>
        <v>559517.2390000001</v>
      </c>
      <c r="BR32" s="63">
        <f>333890.52+259615.069</f>
        <v>593505.589</v>
      </c>
      <c r="BS32" s="113">
        <f>437433.294+264166.447</f>
        <v>701599.7409999999</v>
      </c>
      <c r="BT32" s="63">
        <v>239760</v>
      </c>
      <c r="BU32" s="113">
        <v>502472.642</v>
      </c>
      <c r="BV32" s="63">
        <v>0</v>
      </c>
      <c r="BW32" s="113">
        <v>553308.703</v>
      </c>
      <c r="BX32" s="63">
        <v>0</v>
      </c>
      <c r="BY32" s="113">
        <v>319494.606</v>
      </c>
      <c r="BZ32" s="63">
        <f>237347.858+326775.922+28761</f>
        <v>592884.78</v>
      </c>
      <c r="CA32" s="113">
        <f>284997.162+241771.645</f>
        <v>526768.807</v>
      </c>
      <c r="CB32" s="63">
        <f>12500+123997.645</f>
        <v>136497.64500000002</v>
      </c>
      <c r="CC32" s="113">
        <v>143584.208</v>
      </c>
      <c r="CD32" s="63">
        <v>0</v>
      </c>
      <c r="CE32" s="113">
        <v>71240</v>
      </c>
      <c r="CF32" s="63">
        <v>0</v>
      </c>
      <c r="CG32" s="113">
        <f>25110.889+19101.665</f>
        <v>44212.554000000004</v>
      </c>
      <c r="CH32" s="63">
        <v>0</v>
      </c>
      <c r="CI32" s="113">
        <f>216066.263+1930</f>
        <v>217996.263</v>
      </c>
      <c r="CJ32" s="63">
        <v>0</v>
      </c>
      <c r="CK32" s="113">
        <f>1950+6357</f>
        <v>8307</v>
      </c>
      <c r="CL32" s="63">
        <f>19310.733</f>
        <v>19310.733</v>
      </c>
      <c r="CM32" s="113">
        <v>18450.387</v>
      </c>
      <c r="CN32" s="63">
        <v>0</v>
      </c>
      <c r="CO32" s="113">
        <f>307621.856+112076.767</f>
        <v>419698.623</v>
      </c>
      <c r="CP32" s="63">
        <v>0</v>
      </c>
      <c r="CQ32" s="113">
        <f>335686.678+626223.695</f>
        <v>961910.3729999999</v>
      </c>
      <c r="CR32" s="63">
        <f>118286.45+62678.977</f>
        <v>180965.427</v>
      </c>
      <c r="CS32" s="113">
        <f>236649.18+100161.53</f>
        <v>336810.70999999996</v>
      </c>
      <c r="CT32" s="63">
        <f>90482.417+155125.11</f>
        <v>245607.527</v>
      </c>
      <c r="CU32" s="113">
        <f>103894.968+134235.398</f>
        <v>238130.36599999998</v>
      </c>
      <c r="CV32" s="63">
        <v>0</v>
      </c>
      <c r="CW32" s="113">
        <f>9748.362+96090.739</f>
        <v>105839.101</v>
      </c>
      <c r="CX32" s="63">
        <v>0</v>
      </c>
      <c r="CY32" s="113">
        <f>4359.142+41868.773</f>
        <v>46227.915</v>
      </c>
      <c r="CZ32" s="63">
        <f>7404.315+4336.634+2866.77</f>
        <v>14607.719000000001</v>
      </c>
      <c r="DA32" s="113">
        <f>7311.333+6245.929+3008.241</f>
        <v>16565.502999999997</v>
      </c>
      <c r="DB32" s="63">
        <v>110261.158</v>
      </c>
      <c r="DC32" s="113">
        <v>252065.467</v>
      </c>
      <c r="DD32" s="63">
        <v>0</v>
      </c>
      <c r="DE32" s="63">
        <v>0</v>
      </c>
      <c r="DF32" s="63">
        <v>0</v>
      </c>
      <c r="DG32" s="63">
        <f>66333.584+154110.275</f>
        <v>220443.859</v>
      </c>
      <c r="DH32" s="63">
        <v>0</v>
      </c>
      <c r="DI32" s="63">
        <f>5160+6880</f>
        <v>12040</v>
      </c>
      <c r="DJ32" s="63">
        <v>0</v>
      </c>
      <c r="DK32" s="63">
        <f>39631.1+8161.8+5084.1</f>
        <v>52877</v>
      </c>
    </row>
    <row r="33" spans="1:115" ht="12.75">
      <c r="A33" s="61" t="s">
        <v>48</v>
      </c>
      <c r="B33" s="63">
        <f t="shared" si="53"/>
        <v>5842606.10172</v>
      </c>
      <c r="C33" s="113">
        <f t="shared" si="53"/>
        <v>7674397.221000001</v>
      </c>
      <c r="D33" s="63">
        <f>203490.898+24513.196</f>
        <v>228004.09399999998</v>
      </c>
      <c r="E33" s="118">
        <f>472856.407</f>
        <v>472856.407</v>
      </c>
      <c r="F33" s="63">
        <v>2113.216</v>
      </c>
      <c r="G33" s="113">
        <v>751.5</v>
      </c>
      <c r="H33" s="63">
        <v>2409</v>
      </c>
      <c r="I33" s="118">
        <v>2558</v>
      </c>
      <c r="J33" s="63">
        <f>378280.591+74301.343+28801</f>
        <v>481382.934</v>
      </c>
      <c r="K33" s="113">
        <f>556633.18+141653.671</f>
        <v>698286.851</v>
      </c>
      <c r="L33" s="63">
        <f>190877.795+40813.861</f>
        <v>231691.65600000002</v>
      </c>
      <c r="M33" s="113">
        <v>353485.999</v>
      </c>
      <c r="N33" s="63">
        <v>8784.924</v>
      </c>
      <c r="O33" s="113">
        <f>9439.208</f>
        <v>9439.208</v>
      </c>
      <c r="P33" s="63">
        <v>416.393</v>
      </c>
      <c r="Q33" s="113">
        <v>66453.433</v>
      </c>
      <c r="R33" s="63">
        <f>35913.832+74464.99</f>
        <v>110378.82200000001</v>
      </c>
      <c r="S33" s="113">
        <v>29264.752</v>
      </c>
      <c r="T33" s="63">
        <v>1138</v>
      </c>
      <c r="U33" s="113">
        <v>984</v>
      </c>
      <c r="V33" s="63">
        <v>77073.266</v>
      </c>
      <c r="W33" s="113">
        <v>79258.097</v>
      </c>
      <c r="X33" s="63">
        <v>62495.779</v>
      </c>
      <c r="Y33" s="113">
        <v>0</v>
      </c>
      <c r="Z33" s="63">
        <v>2206.09039</v>
      </c>
      <c r="AA33" s="113">
        <f>3288.822</f>
        <v>3288.822</v>
      </c>
      <c r="AB33" s="63">
        <v>37311</v>
      </c>
      <c r="AC33" s="113">
        <f>57798-48</f>
        <v>57750</v>
      </c>
      <c r="AD33" s="63">
        <v>5374.60209</v>
      </c>
      <c r="AE33" s="113">
        <v>0</v>
      </c>
      <c r="AF33" s="63">
        <v>39670.26422</v>
      </c>
      <c r="AG33" s="113">
        <v>16157.049</v>
      </c>
      <c r="AH33" s="63">
        <f>317.037+22974</f>
        <v>23291.037</v>
      </c>
      <c r="AI33" s="113">
        <v>215.932</v>
      </c>
      <c r="AJ33" s="63">
        <v>0</v>
      </c>
      <c r="AK33" s="113">
        <v>0</v>
      </c>
      <c r="AL33" s="63">
        <f>149869.343+13770.978</f>
        <v>163640.321</v>
      </c>
      <c r="AM33" s="113">
        <f>208745.979+83868.314</f>
        <v>292614.293</v>
      </c>
      <c r="AN33" s="63">
        <f>877+177.987</f>
        <v>1054.987</v>
      </c>
      <c r="AO33" s="113">
        <v>0</v>
      </c>
      <c r="AP33" s="63">
        <v>0</v>
      </c>
      <c r="AQ33" s="113">
        <v>0</v>
      </c>
      <c r="AR33" s="63">
        <v>1089.087</v>
      </c>
      <c r="AS33" s="113">
        <v>1089.07</v>
      </c>
      <c r="AT33" s="63">
        <v>4121.98815</v>
      </c>
      <c r="AU33" s="113">
        <v>1071</v>
      </c>
      <c r="AV33" s="63">
        <v>416.24287</v>
      </c>
      <c r="AW33" s="113">
        <v>0</v>
      </c>
      <c r="AX33" s="63">
        <v>-12977</v>
      </c>
      <c r="AY33" s="113">
        <v>0</v>
      </c>
      <c r="AZ33" s="63">
        <v>0</v>
      </c>
      <c r="BA33" s="113">
        <v>-74350</v>
      </c>
      <c r="BB33" s="63">
        <v>0</v>
      </c>
      <c r="BC33" s="113">
        <v>0</v>
      </c>
      <c r="BD33" s="63">
        <v>0</v>
      </c>
      <c r="BE33" s="113">
        <v>151907.522</v>
      </c>
      <c r="BF33" s="63">
        <v>0</v>
      </c>
      <c r="BG33" s="113">
        <f>18582.823-9434</f>
        <v>9148.823</v>
      </c>
      <c r="BH33" s="63">
        <v>0</v>
      </c>
      <c r="BI33" s="113">
        <v>52131.46</v>
      </c>
      <c r="BJ33" s="63">
        <v>2287600.269</v>
      </c>
      <c r="BK33" s="113">
        <v>4166417.475</v>
      </c>
      <c r="BL33" s="63">
        <v>1992113</v>
      </c>
      <c r="BM33" s="113">
        <v>1126684</v>
      </c>
      <c r="BN33" s="63">
        <v>0</v>
      </c>
      <c r="BO33" s="113">
        <f>10624+8118</f>
        <v>18742</v>
      </c>
      <c r="BP33" s="63">
        <v>0</v>
      </c>
      <c r="BQ33" s="113">
        <v>44683.899</v>
      </c>
      <c r="BR33" s="63">
        <v>31027.728</v>
      </c>
      <c r="BS33" s="113">
        <v>42496.903</v>
      </c>
      <c r="BT33" s="63">
        <v>0</v>
      </c>
      <c r="BU33" s="113">
        <v>0</v>
      </c>
      <c r="BV33" s="63">
        <v>0</v>
      </c>
      <c r="BW33" s="113">
        <v>5642.728</v>
      </c>
      <c r="BX33" s="63">
        <v>0</v>
      </c>
      <c r="BY33" s="113">
        <v>17171.444</v>
      </c>
      <c r="BZ33" s="63">
        <f>42946.916</f>
        <v>42946.916</v>
      </c>
      <c r="CA33" s="113">
        <v>10224.764</v>
      </c>
      <c r="CB33" s="63">
        <v>508.714</v>
      </c>
      <c r="CC33" s="113">
        <v>634.996</v>
      </c>
      <c r="CD33" s="63">
        <v>0</v>
      </c>
      <c r="CE33" s="113">
        <v>0</v>
      </c>
      <c r="CF33" s="63">
        <v>0</v>
      </c>
      <c r="CG33" s="113">
        <v>0</v>
      </c>
      <c r="CH33" s="63">
        <v>0</v>
      </c>
      <c r="CI33" s="113">
        <v>0</v>
      </c>
      <c r="CJ33" s="63">
        <v>0</v>
      </c>
      <c r="CK33" s="113">
        <v>0</v>
      </c>
      <c r="CL33" s="63">
        <v>57.157</v>
      </c>
      <c r="CM33" s="113">
        <v>173.828</v>
      </c>
      <c r="CN33" s="63">
        <v>0</v>
      </c>
      <c r="CO33" s="113">
        <v>3134.324</v>
      </c>
      <c r="CP33" s="63">
        <v>0</v>
      </c>
      <c r="CQ33" s="113">
        <f>33017.397</f>
        <v>33017.397</v>
      </c>
      <c r="CR33" s="63">
        <v>14058.731</v>
      </c>
      <c r="CS33" s="113">
        <v>26641.269</v>
      </c>
      <c r="CT33" s="63">
        <v>1033.653</v>
      </c>
      <c r="CU33" s="113">
        <v>1272.756</v>
      </c>
      <c r="CV33" s="63">
        <v>0</v>
      </c>
      <c r="CW33" s="113">
        <f>853.043-57444</f>
        <v>-56590.957</v>
      </c>
      <c r="CX33" s="63">
        <v>0</v>
      </c>
      <c r="CY33" s="113">
        <v>0.817</v>
      </c>
      <c r="CZ33" s="63">
        <v>1053.093</v>
      </c>
      <c r="DA33" s="113">
        <v>1642.601</v>
      </c>
      <c r="DB33" s="63">
        <v>1120.137</v>
      </c>
      <c r="DC33" s="113">
        <v>5670.723</v>
      </c>
      <c r="DD33" s="63">
        <v>0</v>
      </c>
      <c r="DE33" s="63">
        <v>0</v>
      </c>
      <c r="DF33" s="63">
        <v>0</v>
      </c>
      <c r="DG33" s="63">
        <v>2135.516</v>
      </c>
      <c r="DH33" s="63">
        <v>0</v>
      </c>
      <c r="DI33" s="63">
        <v>57.62</v>
      </c>
      <c r="DJ33" s="63">
        <v>0</v>
      </c>
      <c r="DK33" s="63">
        <v>180.9</v>
      </c>
    </row>
    <row r="34" spans="1:115" ht="12.75">
      <c r="A34" s="65" t="s">
        <v>49</v>
      </c>
      <c r="B34" s="63">
        <f t="shared" si="53"/>
        <v>415894.36600000004</v>
      </c>
      <c r="C34" s="113">
        <f t="shared" si="53"/>
        <v>1326744.5420000001</v>
      </c>
      <c r="D34" s="63">
        <v>0</v>
      </c>
      <c r="E34" s="118">
        <v>67313</v>
      </c>
      <c r="F34" s="63">
        <v>0</v>
      </c>
      <c r="G34" s="113">
        <v>3089</v>
      </c>
      <c r="H34" s="63">
        <v>8432</v>
      </c>
      <c r="I34" s="118">
        <v>8444</v>
      </c>
      <c r="J34" s="63">
        <v>0</v>
      </c>
      <c r="K34" s="113">
        <v>158155</v>
      </c>
      <c r="L34" s="63">
        <v>0</v>
      </c>
      <c r="M34" s="113">
        <v>85911</v>
      </c>
      <c r="N34" s="63">
        <v>0</v>
      </c>
      <c r="O34" s="113">
        <v>0</v>
      </c>
      <c r="P34" s="63">
        <v>2051</v>
      </c>
      <c r="Q34" s="113">
        <v>4354</v>
      </c>
      <c r="R34" s="63">
        <v>0</v>
      </c>
      <c r="S34" s="113">
        <v>18082.157</v>
      </c>
      <c r="T34" s="63">
        <v>0</v>
      </c>
      <c r="U34" s="113">
        <v>0</v>
      </c>
      <c r="V34" s="63">
        <v>5500</v>
      </c>
      <c r="W34" s="113">
        <v>19040</v>
      </c>
      <c r="X34" s="63">
        <v>0</v>
      </c>
      <c r="Y34" s="113">
        <v>0</v>
      </c>
      <c r="Z34" s="63">
        <v>7589</v>
      </c>
      <c r="AA34" s="113">
        <v>13646</v>
      </c>
      <c r="AB34" s="63">
        <v>119258</v>
      </c>
      <c r="AC34" s="113">
        <v>78798</v>
      </c>
      <c r="AD34" s="63">
        <v>0</v>
      </c>
      <c r="AE34" s="113">
        <v>5016.38</v>
      </c>
      <c r="AF34" s="63">
        <v>0</v>
      </c>
      <c r="AG34" s="113">
        <v>0</v>
      </c>
      <c r="AH34" s="63">
        <v>0</v>
      </c>
      <c r="AI34" s="113">
        <v>4540</v>
      </c>
      <c r="AJ34" s="63">
        <v>0</v>
      </c>
      <c r="AK34" s="113">
        <v>0</v>
      </c>
      <c r="AL34" s="63">
        <v>120521</v>
      </c>
      <c r="AM34" s="113">
        <v>85458</v>
      </c>
      <c r="AN34" s="63">
        <v>0</v>
      </c>
      <c r="AO34" s="113">
        <f>5157.357+1047.1</f>
        <v>6204.457</v>
      </c>
      <c r="AP34" s="63">
        <v>0</v>
      </c>
      <c r="AQ34" s="113">
        <v>0</v>
      </c>
      <c r="AR34" s="63">
        <v>577</v>
      </c>
      <c r="AS34" s="113">
        <v>1808</v>
      </c>
      <c r="AT34" s="63"/>
      <c r="AU34" s="113">
        <v>1124</v>
      </c>
      <c r="AV34" s="63">
        <v>0</v>
      </c>
      <c r="AW34" s="113">
        <v>0</v>
      </c>
      <c r="AX34" s="63">
        <v>0</v>
      </c>
      <c r="AY34" s="113">
        <v>0</v>
      </c>
      <c r="AZ34" s="63">
        <v>0</v>
      </c>
      <c r="BA34" s="113">
        <v>0</v>
      </c>
      <c r="BB34" s="63">
        <v>0</v>
      </c>
      <c r="BC34" s="113">
        <v>2700</v>
      </c>
      <c r="BD34" s="63">
        <v>0</v>
      </c>
      <c r="BE34" s="113">
        <v>29740</v>
      </c>
      <c r="BF34" s="63">
        <v>0</v>
      </c>
      <c r="BG34" s="113">
        <f>13677.703+4717</f>
        <v>18394.703</v>
      </c>
      <c r="BH34" s="63">
        <v>0</v>
      </c>
      <c r="BI34" s="113">
        <v>62438</v>
      </c>
      <c r="BJ34" s="63">
        <v>0</v>
      </c>
      <c r="BK34" s="113">
        <v>475026.504</v>
      </c>
      <c r="BL34" s="63">
        <v>85003</v>
      </c>
      <c r="BM34" s="113">
        <v>31633</v>
      </c>
      <c r="BN34" s="63">
        <v>0</v>
      </c>
      <c r="BO34" s="113">
        <v>0</v>
      </c>
      <c r="BP34" s="63">
        <v>0</v>
      </c>
      <c r="BQ34" s="113">
        <v>0</v>
      </c>
      <c r="BR34" s="63">
        <v>23976.223</v>
      </c>
      <c r="BS34" s="113">
        <v>4139.525</v>
      </c>
      <c r="BT34" s="63">
        <v>0</v>
      </c>
      <c r="BU34" s="113">
        <v>0</v>
      </c>
      <c r="BV34" s="63">
        <v>0</v>
      </c>
      <c r="BW34" s="113">
        <v>5904.143</v>
      </c>
      <c r="BX34" s="63">
        <v>0</v>
      </c>
      <c r="BY34" s="113">
        <v>0</v>
      </c>
      <c r="BZ34" s="63">
        <v>13924</v>
      </c>
      <c r="CA34" s="113">
        <v>19100</v>
      </c>
      <c r="CB34" s="63">
        <v>6564</v>
      </c>
      <c r="CC34" s="113">
        <v>7844</v>
      </c>
      <c r="CD34" s="63">
        <v>0</v>
      </c>
      <c r="CE34" s="113">
        <v>0</v>
      </c>
      <c r="CF34" s="63">
        <v>0</v>
      </c>
      <c r="CG34" s="113">
        <v>0</v>
      </c>
      <c r="CH34" s="63">
        <v>0</v>
      </c>
      <c r="CI34" s="113">
        <v>1000</v>
      </c>
      <c r="CJ34" s="63">
        <v>0</v>
      </c>
      <c r="CK34" s="113">
        <v>0</v>
      </c>
      <c r="CL34" s="63">
        <v>2146.424</v>
      </c>
      <c r="CM34" s="113">
        <v>2525.223</v>
      </c>
      <c r="CN34" s="63">
        <v>0</v>
      </c>
      <c r="CO34" s="113">
        <v>0</v>
      </c>
      <c r="CP34" s="63">
        <v>0</v>
      </c>
      <c r="CQ34" s="113">
        <v>38723.304</v>
      </c>
      <c r="CR34" s="63">
        <v>8659.563</v>
      </c>
      <c r="CS34" s="113">
        <v>720.827</v>
      </c>
      <c r="CT34" s="63">
        <v>0</v>
      </c>
      <c r="CU34" s="113">
        <v>0</v>
      </c>
      <c r="CV34" s="63">
        <v>0</v>
      </c>
      <c r="CW34" s="113">
        <v>0</v>
      </c>
      <c r="CX34" s="63">
        <v>0</v>
      </c>
      <c r="CY34" s="113">
        <v>0</v>
      </c>
      <c r="CZ34" s="63">
        <v>558.156</v>
      </c>
      <c r="DA34" s="113">
        <v>592.519</v>
      </c>
      <c r="DB34" s="63">
        <v>11135</v>
      </c>
      <c r="DC34" s="113">
        <v>64105</v>
      </c>
      <c r="DD34" s="63">
        <v>0</v>
      </c>
      <c r="DE34" s="63">
        <v>0</v>
      </c>
      <c r="DF34" s="63">
        <v>0</v>
      </c>
      <c r="DG34" s="63">
        <v>0</v>
      </c>
      <c r="DH34" s="63">
        <v>0</v>
      </c>
      <c r="DI34" s="63">
        <v>283.8</v>
      </c>
      <c r="DJ34" s="63">
        <v>0</v>
      </c>
      <c r="DK34" s="63">
        <v>891</v>
      </c>
    </row>
    <row r="35" spans="1:115" ht="12.75">
      <c r="A35" s="108" t="s">
        <v>50</v>
      </c>
      <c r="B35" s="64">
        <f aca="true" t="shared" si="54" ref="B35:G35">SUM(B32:B34)</f>
        <v>46616812.10504001</v>
      </c>
      <c r="C35" s="114">
        <f t="shared" si="54"/>
        <v>79091344.78899997</v>
      </c>
      <c r="D35" s="64">
        <f t="shared" si="54"/>
        <v>1228614.158</v>
      </c>
      <c r="E35" s="117">
        <f t="shared" si="54"/>
        <v>1554057.937</v>
      </c>
      <c r="F35" s="64">
        <f t="shared" si="54"/>
        <v>122075.064</v>
      </c>
      <c r="G35" s="114">
        <f t="shared" si="54"/>
        <v>166791.20799999998</v>
      </c>
      <c r="H35" s="64">
        <f aca="true" t="shared" si="55" ref="H35:AF35">SUM(H32:H34)</f>
        <v>588556.02</v>
      </c>
      <c r="I35" s="117">
        <f>SUM(I32:I34)</f>
        <v>756497.289</v>
      </c>
      <c r="J35" s="64">
        <f t="shared" si="55"/>
        <v>5275507.161</v>
      </c>
      <c r="K35" s="114">
        <f>SUM(K32:K34)</f>
        <v>6047614.3149999995</v>
      </c>
      <c r="L35" s="64">
        <f t="shared" si="55"/>
        <v>3046239.02</v>
      </c>
      <c r="M35" s="114">
        <f>SUM(M32:M34)</f>
        <v>4164310.6289999997</v>
      </c>
      <c r="N35" s="64">
        <f t="shared" si="55"/>
        <v>452945.956</v>
      </c>
      <c r="O35" s="114">
        <f>SUM(O32:O34)</f>
        <v>305945.007</v>
      </c>
      <c r="P35" s="64">
        <f t="shared" si="55"/>
        <v>166255.34543000002</v>
      </c>
      <c r="Q35" s="114">
        <f>SUM(Q32:Q34)</f>
        <v>114431.617</v>
      </c>
      <c r="R35" s="64">
        <f t="shared" si="55"/>
        <v>1502237.5539999998</v>
      </c>
      <c r="S35" s="114">
        <f>SUM(S32:S34)</f>
        <v>992055.351</v>
      </c>
      <c r="T35" s="64">
        <f t="shared" si="55"/>
        <v>1815</v>
      </c>
      <c r="U35" s="114">
        <f>SUM(U32:U34)</f>
        <v>1910.4</v>
      </c>
      <c r="V35" s="64">
        <f t="shared" si="55"/>
        <v>416853.07539</v>
      </c>
      <c r="W35" s="114">
        <f>SUM(W32:W34)</f>
        <v>1129428.264</v>
      </c>
      <c r="X35" s="64">
        <f t="shared" si="55"/>
        <v>97341.78</v>
      </c>
      <c r="Y35" s="114">
        <f>SUM(Y32:Y34)</f>
        <v>62243.183</v>
      </c>
      <c r="Z35" s="64">
        <f t="shared" si="55"/>
        <v>290367.08971000003</v>
      </c>
      <c r="AA35" s="114">
        <f>SUM(AA32:AA34)</f>
        <v>260053.755</v>
      </c>
      <c r="AB35" s="64">
        <f t="shared" si="55"/>
        <v>1860021</v>
      </c>
      <c r="AC35" s="114">
        <f>SUM(AC32:AC34)</f>
        <v>1883522</v>
      </c>
      <c r="AD35" s="64">
        <f t="shared" si="55"/>
        <v>132007.92909</v>
      </c>
      <c r="AE35" s="114">
        <f>SUM(AE32:AE34)</f>
        <v>134728.862</v>
      </c>
      <c r="AF35" s="64">
        <f t="shared" si="55"/>
        <v>2678322.7707399996</v>
      </c>
      <c r="AG35" s="114">
        <f>SUM(AG32:AG34)</f>
        <v>1738171.968</v>
      </c>
      <c r="AH35" s="64">
        <f aca="true" t="shared" si="56" ref="AH35:AX35">SUM(AH32:AH34)</f>
        <v>258353.856</v>
      </c>
      <c r="AI35" s="114">
        <f t="shared" si="56"/>
        <v>130127.685</v>
      </c>
      <c r="AJ35" s="64">
        <f t="shared" si="56"/>
        <v>2370832.455</v>
      </c>
      <c r="AK35" s="114">
        <f>SUM(AK32:AK34)</f>
        <v>0</v>
      </c>
      <c r="AL35" s="64">
        <f t="shared" si="56"/>
        <v>3803859.349</v>
      </c>
      <c r="AM35" s="114">
        <f>SUM(AM32:AM34)</f>
        <v>4425954.522</v>
      </c>
      <c r="AN35" s="64">
        <f t="shared" si="56"/>
        <v>10895.729</v>
      </c>
      <c r="AO35" s="114">
        <f>SUM(AO32:AO34)</f>
        <v>89040.10299999999</v>
      </c>
      <c r="AP35" s="64">
        <f t="shared" si="56"/>
        <v>52582.55266</v>
      </c>
      <c r="AQ35" s="114">
        <f>SUM(AQ32:AQ34)</f>
        <v>49195.579</v>
      </c>
      <c r="AR35" s="64">
        <f t="shared" si="56"/>
        <v>49276.487</v>
      </c>
      <c r="AS35" s="114">
        <f>SUM(AS32:AS34)</f>
        <v>36782.03</v>
      </c>
      <c r="AT35" s="64">
        <f t="shared" si="56"/>
        <v>107485.71315000001</v>
      </c>
      <c r="AU35" s="114">
        <f>SUM(AU32:AU34)</f>
        <v>82784</v>
      </c>
      <c r="AV35" s="64">
        <f t="shared" si="56"/>
        <v>29399.49687</v>
      </c>
      <c r="AW35" s="114">
        <f>SUM(AW32:AW34)</f>
        <v>0</v>
      </c>
      <c r="AX35" s="64">
        <f t="shared" si="56"/>
        <v>172676.885</v>
      </c>
      <c r="AY35" s="114">
        <f>SUM(AY32:AY34)</f>
        <v>463763</v>
      </c>
      <c r="AZ35" s="64">
        <f>SUM(AZ32:AZ34)</f>
        <v>87923.18</v>
      </c>
      <c r="BA35" s="114">
        <f>SUM(BA32:BA34)</f>
        <v>23806.293999999994</v>
      </c>
      <c r="BB35" s="64">
        <f>SUM(BB32:BB34)</f>
        <v>44656.355</v>
      </c>
      <c r="BC35" s="114">
        <f>SUM(BC32:BC34)</f>
        <v>59417.602</v>
      </c>
      <c r="BD35" s="64">
        <f aca="true" t="shared" si="57" ref="BD35:BK35">SUM(BD32:BD34)</f>
        <v>0</v>
      </c>
      <c r="BE35" s="114">
        <f t="shared" si="57"/>
        <v>2128639.025</v>
      </c>
      <c r="BF35" s="64">
        <f t="shared" si="57"/>
        <v>0</v>
      </c>
      <c r="BG35" s="114">
        <f t="shared" si="57"/>
        <v>146195.32900000003</v>
      </c>
      <c r="BH35" s="64">
        <f t="shared" si="57"/>
        <v>0</v>
      </c>
      <c r="BI35" s="114">
        <f t="shared" si="57"/>
        <v>1181695.819</v>
      </c>
      <c r="BJ35" s="64">
        <f t="shared" si="57"/>
        <v>14275276.049999999</v>
      </c>
      <c r="BK35" s="114">
        <f t="shared" si="57"/>
        <v>39401761.2</v>
      </c>
      <c r="BL35" s="64">
        <f aca="true" t="shared" si="58" ref="BL35:BQ35">SUM(BL32:BL34)</f>
        <v>5202265</v>
      </c>
      <c r="BM35" s="114">
        <f t="shared" si="58"/>
        <v>4306388</v>
      </c>
      <c r="BN35" s="64">
        <f t="shared" si="58"/>
        <v>0</v>
      </c>
      <c r="BO35" s="114">
        <f t="shared" si="58"/>
        <v>640450.88</v>
      </c>
      <c r="BP35" s="64">
        <f t="shared" si="58"/>
        <v>0</v>
      </c>
      <c r="BQ35" s="114">
        <f t="shared" si="58"/>
        <v>604201.138</v>
      </c>
      <c r="BR35" s="64">
        <f aca="true" t="shared" si="59" ref="BR35:BW35">SUM(BR32:BR34)</f>
        <v>648509.54</v>
      </c>
      <c r="BS35" s="114">
        <f t="shared" si="59"/>
        <v>748236.169</v>
      </c>
      <c r="BT35" s="64">
        <f t="shared" si="59"/>
        <v>239760</v>
      </c>
      <c r="BU35" s="114">
        <f t="shared" si="59"/>
        <v>502472.642</v>
      </c>
      <c r="BV35" s="64">
        <f t="shared" si="59"/>
        <v>0</v>
      </c>
      <c r="BW35" s="114">
        <f t="shared" si="59"/>
        <v>564855.574</v>
      </c>
      <c r="BX35" s="64">
        <f>SUM(BX32:BX34)</f>
        <v>0</v>
      </c>
      <c r="BY35" s="114">
        <f>SUM(BY32:BY34)</f>
        <v>336666.05000000005</v>
      </c>
      <c r="BZ35" s="64">
        <f aca="true" t="shared" si="60" ref="BZ35:CE35">SUM(BZ32:BZ34)</f>
        <v>649755.696</v>
      </c>
      <c r="CA35" s="114">
        <f t="shared" si="60"/>
        <v>556093.571</v>
      </c>
      <c r="CB35" s="64">
        <f t="shared" si="60"/>
        <v>143570.35900000003</v>
      </c>
      <c r="CC35" s="114">
        <f t="shared" si="60"/>
        <v>152063.20400000003</v>
      </c>
      <c r="CD35" s="64">
        <f t="shared" si="60"/>
        <v>0</v>
      </c>
      <c r="CE35" s="114">
        <f t="shared" si="60"/>
        <v>71240</v>
      </c>
      <c r="CF35" s="64">
        <f aca="true" t="shared" si="61" ref="CF35:CS35">SUM(CF32:CF34)</f>
        <v>0</v>
      </c>
      <c r="CG35" s="114">
        <f t="shared" si="61"/>
        <v>44212.554000000004</v>
      </c>
      <c r="CH35" s="64">
        <f t="shared" si="61"/>
        <v>0</v>
      </c>
      <c r="CI35" s="114">
        <f t="shared" si="61"/>
        <v>218996.263</v>
      </c>
      <c r="CJ35" s="64">
        <f t="shared" si="61"/>
        <v>0</v>
      </c>
      <c r="CK35" s="114">
        <f t="shared" si="61"/>
        <v>8307</v>
      </c>
      <c r="CL35" s="64">
        <f t="shared" si="61"/>
        <v>21514.314</v>
      </c>
      <c r="CM35" s="114">
        <f t="shared" si="61"/>
        <v>21149.438000000002</v>
      </c>
      <c r="CN35" s="64">
        <f t="shared" si="61"/>
        <v>0</v>
      </c>
      <c r="CO35" s="114">
        <f t="shared" si="61"/>
        <v>422832.94700000004</v>
      </c>
      <c r="CP35" s="64">
        <f t="shared" si="61"/>
        <v>0</v>
      </c>
      <c r="CQ35" s="114">
        <f t="shared" si="61"/>
        <v>1033651.0739999999</v>
      </c>
      <c r="CR35" s="64">
        <f t="shared" si="61"/>
        <v>203683.721</v>
      </c>
      <c r="CS35" s="114">
        <f t="shared" si="61"/>
        <v>364172.8059999999</v>
      </c>
      <c r="CT35" s="64">
        <f aca="true" t="shared" si="62" ref="CT35:DA35">SUM(CT32:CT34)</f>
        <v>246641.18</v>
      </c>
      <c r="CU35" s="114">
        <f t="shared" si="62"/>
        <v>239403.12199999997</v>
      </c>
      <c r="CV35" s="64">
        <f t="shared" si="62"/>
        <v>0</v>
      </c>
      <c r="CW35" s="114">
        <f t="shared" si="62"/>
        <v>49248.14399999999</v>
      </c>
      <c r="CX35" s="64">
        <f t="shared" si="62"/>
        <v>0</v>
      </c>
      <c r="CY35" s="114">
        <f t="shared" si="62"/>
        <v>46228.732</v>
      </c>
      <c r="CZ35" s="64">
        <f t="shared" si="62"/>
        <v>16218.968</v>
      </c>
      <c r="DA35" s="114">
        <f t="shared" si="62"/>
        <v>18800.622999999996</v>
      </c>
      <c r="DB35" s="64">
        <f aca="true" t="shared" si="63" ref="DB35:DG35">SUM(DB32:DB34)</f>
        <v>122516.295</v>
      </c>
      <c r="DC35" s="114">
        <f t="shared" si="63"/>
        <v>321841.19</v>
      </c>
      <c r="DD35" s="64">
        <f t="shared" si="63"/>
        <v>0</v>
      </c>
      <c r="DE35" s="64">
        <f t="shared" si="63"/>
        <v>0</v>
      </c>
      <c r="DF35" s="64">
        <f t="shared" si="63"/>
        <v>0</v>
      </c>
      <c r="DG35" s="64">
        <f t="shared" si="63"/>
        <v>222579.375</v>
      </c>
      <c r="DH35" s="64">
        <f>SUM(DH32:DH34)</f>
        <v>0</v>
      </c>
      <c r="DI35" s="64">
        <f>SUM(DI32:DI34)</f>
        <v>12381.42</v>
      </c>
      <c r="DJ35" s="64">
        <f>SUM(DJ32:DJ34)</f>
        <v>0</v>
      </c>
      <c r="DK35" s="64">
        <f>SUM(DK32:DK34)</f>
        <v>53948.9</v>
      </c>
    </row>
    <row r="36" spans="1:115" s="13" customFormat="1" ht="12.75">
      <c r="A36" s="108" t="s">
        <v>51</v>
      </c>
      <c r="B36" s="64">
        <f aca="true" t="shared" si="64" ref="B36:G36">+B28-B32</f>
        <v>524349.3837399855</v>
      </c>
      <c r="C36" s="114">
        <f>+C28-C32</f>
        <v>5463772.309000015</v>
      </c>
      <c r="D36" s="64">
        <f t="shared" si="64"/>
        <v>-251339.27300000004</v>
      </c>
      <c r="E36" s="114">
        <f t="shared" si="64"/>
        <v>-131806.49400000006</v>
      </c>
      <c r="F36" s="64">
        <f t="shared" si="64"/>
        <v>641.6120000000083</v>
      </c>
      <c r="G36" s="114">
        <f t="shared" si="64"/>
        <v>7959.11500000002</v>
      </c>
      <c r="H36" s="64">
        <f aca="true" t="shared" si="65" ref="H36:AR36">+H28-H32</f>
        <v>10037.988999999943</v>
      </c>
      <c r="I36" s="114">
        <f>+I28-I32</f>
        <v>25588.474999999977</v>
      </c>
      <c r="J36" s="64">
        <f t="shared" si="65"/>
        <v>380927.17200000025</v>
      </c>
      <c r="K36" s="114">
        <f>+K28-K32</f>
        <v>807725.466</v>
      </c>
      <c r="L36" s="64">
        <f t="shared" si="65"/>
        <v>89791.07799999975</v>
      </c>
      <c r="M36" s="114">
        <f>+M28-M32</f>
        <v>368430.0120000001</v>
      </c>
      <c r="N36" s="64">
        <f t="shared" si="65"/>
        <v>10184.603000000003</v>
      </c>
      <c r="O36" s="114">
        <f>+O28-O32</f>
        <v>28869.398999999976</v>
      </c>
      <c r="P36" s="64">
        <f t="shared" si="65"/>
        <v>-93652.75243000001</v>
      </c>
      <c r="Q36" s="114">
        <f>+Q28-Q32</f>
        <v>76188.90400000001</v>
      </c>
      <c r="R36" s="64">
        <f t="shared" si="65"/>
        <v>226600.84700000007</v>
      </c>
      <c r="S36" s="114">
        <f>+S28-S32</f>
        <v>44345.171999999904</v>
      </c>
      <c r="T36" s="64">
        <f t="shared" si="65"/>
        <v>523</v>
      </c>
      <c r="U36" s="114">
        <f>+U28-U32</f>
        <v>889.6</v>
      </c>
      <c r="V36" s="64">
        <f t="shared" si="65"/>
        <v>49361.447609999974</v>
      </c>
      <c r="W36" s="114">
        <f>+W28-W32</f>
        <v>-92017.95899999992</v>
      </c>
      <c r="X36" s="64">
        <f t="shared" si="65"/>
        <v>34551.336</v>
      </c>
      <c r="Y36" s="114">
        <f>+Y28-Y32</f>
        <v>38670.640999999996</v>
      </c>
      <c r="Z36" s="64">
        <f t="shared" si="65"/>
        <v>13370.360679999983</v>
      </c>
      <c r="AA36" s="114">
        <f>+AA28-AA32</f>
        <v>40136.88799999998</v>
      </c>
      <c r="AB36" s="64">
        <f t="shared" si="65"/>
        <v>288723</v>
      </c>
      <c r="AC36" s="114">
        <f>+AC28-AC32</f>
        <v>152077</v>
      </c>
      <c r="AD36" s="64">
        <f t="shared" si="65"/>
        <v>16286.672999999995</v>
      </c>
      <c r="AE36" s="114">
        <f>+AE28-AE32</f>
        <v>15201.150999999998</v>
      </c>
      <c r="AF36" s="64">
        <f t="shared" si="65"/>
        <v>232582.4294800004</v>
      </c>
      <c r="AG36" s="114">
        <f>+AG28-AG32</f>
        <v>89614.85300000012</v>
      </c>
      <c r="AH36" s="64">
        <f t="shared" si="65"/>
        <v>69932.62600000002</v>
      </c>
      <c r="AI36" s="114">
        <f t="shared" si="65"/>
        <v>14401.247000000003</v>
      </c>
      <c r="AJ36" s="64">
        <f t="shared" si="65"/>
        <v>106488.39099999983</v>
      </c>
      <c r="AK36" s="114">
        <f>+AK28-AK32</f>
        <v>0</v>
      </c>
      <c r="AL36" s="64">
        <f t="shared" si="65"/>
        <v>359732.65200000023</v>
      </c>
      <c r="AM36" s="114">
        <f>+AM28-AM32</f>
        <v>224020.04600000056</v>
      </c>
      <c r="AN36" s="64">
        <f t="shared" si="65"/>
        <v>2656.875</v>
      </c>
      <c r="AO36" s="114">
        <f>+AO28-AO32</f>
        <v>15628.354000000007</v>
      </c>
      <c r="AP36" s="64">
        <f t="shared" si="65"/>
        <v>8165.583399999996</v>
      </c>
      <c r="AQ36" s="114">
        <f>+AQ28-AQ32</f>
        <v>450.64300000000367</v>
      </c>
      <c r="AR36" s="64">
        <f t="shared" si="65"/>
        <v>-16410.4</v>
      </c>
      <c r="AS36" s="114">
        <f aca="true" t="shared" si="66" ref="AS36:BC36">+AS28-AS32</f>
        <v>6515.040000000001</v>
      </c>
      <c r="AT36" s="64">
        <f t="shared" si="66"/>
        <v>-25149.466</v>
      </c>
      <c r="AU36" s="114">
        <f t="shared" si="66"/>
        <v>-20589</v>
      </c>
      <c r="AV36" s="64">
        <f t="shared" si="66"/>
        <v>5350.125</v>
      </c>
      <c r="AW36" s="114">
        <f t="shared" si="66"/>
        <v>0</v>
      </c>
      <c r="AX36" s="64">
        <f t="shared" si="66"/>
        <v>21412.608999999997</v>
      </c>
      <c r="AY36" s="121">
        <f t="shared" si="66"/>
        <v>44607</v>
      </c>
      <c r="AZ36" s="64">
        <f t="shared" si="66"/>
        <v>-80923.18</v>
      </c>
      <c r="BA36" s="114">
        <f t="shared" si="66"/>
        <v>-89939.294</v>
      </c>
      <c r="BB36" s="64">
        <f t="shared" si="66"/>
        <v>5948.843999999997</v>
      </c>
      <c r="BC36" s="114">
        <f t="shared" si="66"/>
        <v>8265.398000000001</v>
      </c>
      <c r="BD36" s="64">
        <f aca="true" t="shared" si="67" ref="BD36:BK36">+BD28-BD32</f>
        <v>0</v>
      </c>
      <c r="BE36" s="114">
        <f t="shared" si="67"/>
        <v>102547.99699999997</v>
      </c>
      <c r="BF36" s="64">
        <f t="shared" si="67"/>
        <v>0</v>
      </c>
      <c r="BG36" s="114">
        <f t="shared" si="67"/>
        <v>65234.52599999998</v>
      </c>
      <c r="BH36" s="64">
        <f t="shared" si="67"/>
        <v>0</v>
      </c>
      <c r="BI36" s="114">
        <f t="shared" si="67"/>
        <v>219239.51399999997</v>
      </c>
      <c r="BJ36" s="64">
        <f t="shared" si="67"/>
        <v>-1588037.3650000002</v>
      </c>
      <c r="BK36" s="114">
        <f t="shared" si="67"/>
        <v>3185304.038999997</v>
      </c>
      <c r="BL36" s="64">
        <f aca="true" t="shared" si="68" ref="BL36:BQ36">+BL28-BL32</f>
        <v>356128</v>
      </c>
      <c r="BM36" s="114">
        <f t="shared" si="68"/>
        <v>-697705</v>
      </c>
      <c r="BN36" s="64">
        <f t="shared" si="68"/>
        <v>0</v>
      </c>
      <c r="BO36" s="114">
        <f t="shared" si="68"/>
        <v>28783.300000000047</v>
      </c>
      <c r="BP36" s="64">
        <f t="shared" si="68"/>
        <v>0</v>
      </c>
      <c r="BQ36" s="114">
        <f t="shared" si="68"/>
        <v>240821.561</v>
      </c>
      <c r="BR36" s="64">
        <f aca="true" t="shared" si="69" ref="BR36:BW36">+BR28-BR32</f>
        <v>99940.473</v>
      </c>
      <c r="BS36" s="114">
        <f t="shared" si="69"/>
        <v>55136.04500000004</v>
      </c>
      <c r="BT36" s="64">
        <f t="shared" si="69"/>
        <v>32967</v>
      </c>
      <c r="BU36" s="114">
        <f t="shared" si="69"/>
        <v>42172.21999999997</v>
      </c>
      <c r="BV36" s="64">
        <f t="shared" si="69"/>
        <v>0</v>
      </c>
      <c r="BW36" s="114">
        <f t="shared" si="69"/>
        <v>11422.599999999977</v>
      </c>
      <c r="BX36" s="64">
        <f>+BX28-BX32</f>
        <v>0</v>
      </c>
      <c r="BY36" s="114">
        <f>+BY28-BY32</f>
        <v>96286.64399999997</v>
      </c>
      <c r="BZ36" s="64">
        <f aca="true" t="shared" si="70" ref="BZ36:CE36">+BZ28-BZ32</f>
        <v>56379.98100000003</v>
      </c>
      <c r="CA36" s="114">
        <f t="shared" si="70"/>
        <v>68103.56400000001</v>
      </c>
      <c r="CB36" s="64">
        <f t="shared" si="70"/>
        <v>-10245.162000000026</v>
      </c>
      <c r="CC36" s="114">
        <f t="shared" si="70"/>
        <v>17322.291999999987</v>
      </c>
      <c r="CD36" s="64">
        <f t="shared" si="70"/>
        <v>0</v>
      </c>
      <c r="CE36" s="114">
        <f t="shared" si="70"/>
        <v>-687</v>
      </c>
      <c r="CF36" s="64">
        <f aca="true" t="shared" si="71" ref="CF36:CS36">+CF28-CF32</f>
        <v>0</v>
      </c>
      <c r="CG36" s="114">
        <f t="shared" si="71"/>
        <v>10679.693999999996</v>
      </c>
      <c r="CH36" s="64">
        <f t="shared" si="71"/>
        <v>0</v>
      </c>
      <c r="CI36" s="114">
        <f t="shared" si="71"/>
        <v>-39773.85399999999</v>
      </c>
      <c r="CJ36" s="64">
        <f t="shared" si="71"/>
        <v>0</v>
      </c>
      <c r="CK36" s="114">
        <f t="shared" si="71"/>
        <v>-5307</v>
      </c>
      <c r="CL36" s="64">
        <f t="shared" si="71"/>
        <v>5995.542000000001</v>
      </c>
      <c r="CM36" s="114">
        <f t="shared" si="71"/>
        <v>7234.227000000003</v>
      </c>
      <c r="CN36" s="64">
        <f t="shared" si="71"/>
        <v>0</v>
      </c>
      <c r="CO36" s="114">
        <f t="shared" si="71"/>
        <v>56026.37699999998</v>
      </c>
      <c r="CP36" s="64">
        <f t="shared" si="71"/>
        <v>0</v>
      </c>
      <c r="CQ36" s="114">
        <f t="shared" si="71"/>
        <v>150360.74300000002</v>
      </c>
      <c r="CR36" s="64">
        <f t="shared" si="71"/>
        <v>32930.496000000014</v>
      </c>
      <c r="CS36" s="114">
        <f t="shared" si="71"/>
        <v>25753.626000000047</v>
      </c>
      <c r="CT36" s="64">
        <f aca="true" t="shared" si="72" ref="CT36:DA36">+CT28-CT32</f>
        <v>37536.572999999975</v>
      </c>
      <c r="CU36" s="114">
        <f t="shared" si="72"/>
        <v>17344.113000000012</v>
      </c>
      <c r="CV36" s="64">
        <f t="shared" si="72"/>
        <v>0</v>
      </c>
      <c r="CW36" s="114">
        <f t="shared" si="72"/>
        <v>-56707.276</v>
      </c>
      <c r="CX36" s="64">
        <f t="shared" si="72"/>
        <v>0</v>
      </c>
      <c r="CY36" s="114">
        <f t="shared" si="72"/>
        <v>513.3940000000002</v>
      </c>
      <c r="CZ36" s="64">
        <f t="shared" si="72"/>
        <v>1397.0199999999986</v>
      </c>
      <c r="DA36" s="114">
        <f t="shared" si="72"/>
        <v>1802.6320000000014</v>
      </c>
      <c r="DB36" s="64">
        <f aca="true" t="shared" si="73" ref="DB36:DG36">+DB28-DB32</f>
        <v>33562.644</v>
      </c>
      <c r="DC36" s="114">
        <f t="shared" si="73"/>
        <v>190620.533</v>
      </c>
      <c r="DD36" s="64">
        <f t="shared" si="73"/>
        <v>0</v>
      </c>
      <c r="DE36" s="64">
        <f t="shared" si="73"/>
        <v>0</v>
      </c>
      <c r="DF36" s="64">
        <f t="shared" si="73"/>
        <v>0</v>
      </c>
      <c r="DG36" s="64">
        <f t="shared" si="73"/>
        <v>-7548.858999999997</v>
      </c>
      <c r="DH36" s="64">
        <f>+DH28-DH32</f>
        <v>0</v>
      </c>
      <c r="DI36" s="64">
        <f>+DI28-DI32</f>
        <v>860</v>
      </c>
      <c r="DJ36" s="64">
        <f>+DJ28-DJ32</f>
        <v>0</v>
      </c>
      <c r="DK36" s="64">
        <f>+DK28-DK32</f>
        <v>2700</v>
      </c>
    </row>
    <row r="37" spans="1:115" s="13" customFormat="1" ht="12.75">
      <c r="A37" s="108" t="s">
        <v>52</v>
      </c>
      <c r="B37" s="64">
        <f aca="true" t="shared" si="74" ref="B37:G37">+B30-B35</f>
        <v>-50652.05283001065</v>
      </c>
      <c r="C37" s="114">
        <f>+C30-C35</f>
        <v>4026334.3870000243</v>
      </c>
      <c r="D37" s="64">
        <f t="shared" si="74"/>
        <v>49769.215000000084</v>
      </c>
      <c r="E37" s="114">
        <f t="shared" si="74"/>
        <v>63953.17500000005</v>
      </c>
      <c r="F37" s="64">
        <f t="shared" si="74"/>
        <v>-1471.603999999992</v>
      </c>
      <c r="G37" s="114">
        <f t="shared" si="74"/>
        <v>4118.61500000002</v>
      </c>
      <c r="H37" s="64">
        <f aca="true" t="shared" si="75" ref="H37:AR37">+H30-H35</f>
        <v>13249.861999999965</v>
      </c>
      <c r="I37" s="114">
        <f>+I30-I35</f>
        <v>14586.474999999977</v>
      </c>
      <c r="J37" s="64">
        <f t="shared" si="75"/>
        <v>27064.55700000003</v>
      </c>
      <c r="K37" s="114">
        <f>+K30-K35</f>
        <v>82585.19000000041</v>
      </c>
      <c r="L37" s="64">
        <f t="shared" si="75"/>
        <v>56623.5549999997</v>
      </c>
      <c r="M37" s="114">
        <f>+M30-M35</f>
        <v>122663.49100000039</v>
      </c>
      <c r="N37" s="64">
        <f t="shared" si="75"/>
        <v>2198.962999999989</v>
      </c>
      <c r="O37" s="114">
        <f>+O30-O35</f>
        <v>20913.603999999992</v>
      </c>
      <c r="P37" s="64">
        <f t="shared" si="75"/>
        <v>2353.0935699999973</v>
      </c>
      <c r="Q37" s="114">
        <f>+Q30-Q35</f>
        <v>5381.471000000005</v>
      </c>
      <c r="R37" s="64">
        <f t="shared" si="75"/>
        <v>122083.3180000002</v>
      </c>
      <c r="S37" s="114">
        <f>+S30-S35</f>
        <v>26593.585999999894</v>
      </c>
      <c r="T37" s="64">
        <f t="shared" si="75"/>
        <v>1842</v>
      </c>
      <c r="U37" s="114">
        <f>+U30-U35</f>
        <v>1635.6</v>
      </c>
      <c r="V37" s="64">
        <f t="shared" si="75"/>
        <v>11020.906609999947</v>
      </c>
      <c r="W37" s="114">
        <f>+W30-W35</f>
        <v>1956.1950000000652</v>
      </c>
      <c r="X37" s="64">
        <f t="shared" si="75"/>
        <v>19343.33600000001</v>
      </c>
      <c r="Y37" s="114">
        <f>+Y30-Y35</f>
        <v>38670.640999999996</v>
      </c>
      <c r="Z37" s="64">
        <f t="shared" si="75"/>
        <v>13849.398089999973</v>
      </c>
      <c r="AA37" s="114">
        <f>+AA30-AA35</f>
        <v>23977.320000000007</v>
      </c>
      <c r="AB37" s="64">
        <f t="shared" si="75"/>
        <v>218681</v>
      </c>
      <c r="AC37" s="114">
        <f>+AC30-AC35</f>
        <v>144232</v>
      </c>
      <c r="AD37" s="64">
        <f t="shared" si="75"/>
        <v>10912.07091000001</v>
      </c>
      <c r="AE37" s="114">
        <f>+AE30-AE35</f>
        <v>10184.771000000008</v>
      </c>
      <c r="AF37" s="64">
        <f t="shared" si="75"/>
        <v>211116.20561000053</v>
      </c>
      <c r="AG37" s="114">
        <f>+AG30-AG35</f>
        <v>111427.35400000005</v>
      </c>
      <c r="AH37" s="64">
        <f t="shared" si="75"/>
        <v>46644.17199999999</v>
      </c>
      <c r="AI37" s="114">
        <f t="shared" si="75"/>
        <v>9647.698999999993</v>
      </c>
      <c r="AJ37" s="64">
        <f t="shared" si="75"/>
        <v>106488.39099999983</v>
      </c>
      <c r="AK37" s="114">
        <f>+AK30-AK35</f>
        <v>0</v>
      </c>
      <c r="AL37" s="64">
        <f t="shared" si="75"/>
        <v>202582.03100000042</v>
      </c>
      <c r="AM37" s="114">
        <f>+AM30-AM35</f>
        <v>29370.086000000127</v>
      </c>
      <c r="AN37" s="64">
        <f t="shared" si="75"/>
        <v>1601.8880000000008</v>
      </c>
      <c r="AO37" s="114">
        <f>+AO30-AO35</f>
        <v>9423.897000000012</v>
      </c>
      <c r="AP37" s="64">
        <f t="shared" si="75"/>
        <v>8165.583399999996</v>
      </c>
      <c r="AQ37" s="114">
        <f>+AQ30-AQ35</f>
        <v>450.64300000000367</v>
      </c>
      <c r="AR37" s="64">
        <f t="shared" si="75"/>
        <v>-17846.738</v>
      </c>
      <c r="AS37" s="114">
        <f aca="true" t="shared" si="76" ref="AS37:BC37">+AS30-AS35</f>
        <v>3623.7220000000016</v>
      </c>
      <c r="AT37" s="64">
        <f t="shared" si="76"/>
        <v>-29271.454150000005</v>
      </c>
      <c r="AU37" s="114">
        <f t="shared" si="76"/>
        <v>-22424</v>
      </c>
      <c r="AV37" s="64">
        <f t="shared" si="76"/>
        <v>5734.020130000001</v>
      </c>
      <c r="AW37" s="114">
        <f t="shared" si="76"/>
        <v>0</v>
      </c>
      <c r="AX37" s="64">
        <f t="shared" si="76"/>
        <v>34389.609</v>
      </c>
      <c r="AY37" s="114">
        <f t="shared" si="76"/>
        <v>44607</v>
      </c>
      <c r="AZ37" s="64">
        <f t="shared" si="76"/>
        <v>149.82000000000698</v>
      </c>
      <c r="BA37" s="114">
        <f t="shared" si="76"/>
        <v>-15589.293999999994</v>
      </c>
      <c r="BB37" s="64">
        <f t="shared" si="76"/>
        <v>5948.843999999997</v>
      </c>
      <c r="BC37" s="114">
        <f t="shared" si="76"/>
        <v>5565.398000000001</v>
      </c>
      <c r="BD37" s="64">
        <f aca="true" t="shared" si="77" ref="BD37:BK37">+BD30-BD35</f>
        <v>0</v>
      </c>
      <c r="BE37" s="114">
        <f t="shared" si="77"/>
        <v>43262.07200000016</v>
      </c>
      <c r="BF37" s="64">
        <f t="shared" si="77"/>
        <v>0</v>
      </c>
      <c r="BG37" s="114">
        <f t="shared" si="77"/>
        <v>37690.99999999997</v>
      </c>
      <c r="BH37" s="64">
        <f t="shared" si="77"/>
        <v>0</v>
      </c>
      <c r="BI37" s="114">
        <f t="shared" si="77"/>
        <v>111855.81099999999</v>
      </c>
      <c r="BJ37" s="64">
        <f t="shared" si="77"/>
        <v>-1464402.6839999985</v>
      </c>
      <c r="BK37" s="114">
        <f t="shared" si="77"/>
        <v>2379686.878999993</v>
      </c>
      <c r="BL37" s="64">
        <f aca="true" t="shared" si="78" ref="BL37:BQ37">+BL30-BL35</f>
        <v>117516</v>
      </c>
      <c r="BM37" s="114">
        <f t="shared" si="78"/>
        <v>91654</v>
      </c>
      <c r="BN37" s="64">
        <f t="shared" si="78"/>
        <v>0</v>
      </c>
      <c r="BO37" s="114">
        <f t="shared" si="78"/>
        <v>10041.300000000047</v>
      </c>
      <c r="BP37" s="64">
        <f t="shared" si="78"/>
        <v>0</v>
      </c>
      <c r="BQ37" s="114">
        <f t="shared" si="78"/>
        <v>196137.662</v>
      </c>
      <c r="BR37" s="64">
        <f aca="true" t="shared" si="79" ref="BR37:BW37">+BR30-BR35</f>
        <v>48678.99800000002</v>
      </c>
      <c r="BS37" s="114">
        <f t="shared" si="79"/>
        <v>9025.125999999931</v>
      </c>
      <c r="BT37" s="64">
        <f t="shared" si="79"/>
        <v>32967</v>
      </c>
      <c r="BU37" s="114">
        <f t="shared" si="79"/>
        <v>42172.21999999997</v>
      </c>
      <c r="BV37" s="64">
        <f t="shared" si="79"/>
        <v>0</v>
      </c>
      <c r="BW37" s="114">
        <f t="shared" si="79"/>
        <v>1311.1339999999618</v>
      </c>
      <c r="BX37" s="64">
        <f>+BX30-BX35</f>
        <v>0</v>
      </c>
      <c r="BY37" s="114">
        <f>+BY30-BY35</f>
        <v>79115.19999999995</v>
      </c>
      <c r="BZ37" s="64">
        <f aca="true" t="shared" si="80" ref="BZ37:CE37">+BZ30-BZ35</f>
        <v>0.06500000006053597</v>
      </c>
      <c r="CA37" s="114">
        <f t="shared" si="80"/>
        <v>38778.80000000005</v>
      </c>
      <c r="CB37" s="64">
        <f t="shared" si="80"/>
        <v>10883.970999999961</v>
      </c>
      <c r="CC37" s="114">
        <f t="shared" si="80"/>
        <v>15714.376999999979</v>
      </c>
      <c r="CD37" s="64">
        <f t="shared" si="80"/>
        <v>0</v>
      </c>
      <c r="CE37" s="114">
        <f t="shared" si="80"/>
        <v>-687</v>
      </c>
      <c r="CF37" s="64">
        <f aca="true" t="shared" si="81" ref="CF37:CS37">+CF30-CF35</f>
        <v>0</v>
      </c>
      <c r="CG37" s="114">
        <f t="shared" si="81"/>
        <v>10679.693999999996</v>
      </c>
      <c r="CH37" s="64">
        <f t="shared" si="81"/>
        <v>0</v>
      </c>
      <c r="CI37" s="114">
        <f t="shared" si="81"/>
        <v>-40773.85399999999</v>
      </c>
      <c r="CJ37" s="64">
        <f t="shared" si="81"/>
        <v>0</v>
      </c>
      <c r="CK37" s="114">
        <f t="shared" si="81"/>
        <v>-5307</v>
      </c>
      <c r="CL37" s="64">
        <f t="shared" si="81"/>
        <v>4212.225000000002</v>
      </c>
      <c r="CM37" s="114">
        <f t="shared" si="81"/>
        <v>4959.037</v>
      </c>
      <c r="CN37" s="64">
        <f t="shared" si="81"/>
        <v>0</v>
      </c>
      <c r="CO37" s="114">
        <f t="shared" si="81"/>
        <v>52892.052999999956</v>
      </c>
      <c r="CP37" s="64">
        <f t="shared" si="81"/>
        <v>0</v>
      </c>
      <c r="CQ37" s="114">
        <f t="shared" si="81"/>
        <v>78620.04200000002</v>
      </c>
      <c r="CR37" s="64">
        <f t="shared" si="81"/>
        <v>17581.53800000003</v>
      </c>
      <c r="CS37" s="114">
        <f t="shared" si="81"/>
        <v>1463.496000000101</v>
      </c>
      <c r="CT37" s="64">
        <f aca="true" t="shared" si="82" ref="CT37:DA37">+CT30-CT35</f>
        <v>36650.21999999997</v>
      </c>
      <c r="CU37" s="114">
        <f t="shared" si="82"/>
        <v>16072.414000000019</v>
      </c>
      <c r="CV37" s="64">
        <f t="shared" si="82"/>
        <v>0</v>
      </c>
      <c r="CW37" s="114">
        <f t="shared" si="82"/>
        <v>0.4810000000070431</v>
      </c>
      <c r="CX37" s="64">
        <f t="shared" si="82"/>
        <v>0</v>
      </c>
      <c r="CY37" s="114">
        <f t="shared" si="82"/>
        <v>513.1679999999978</v>
      </c>
      <c r="CZ37" s="64">
        <f t="shared" si="82"/>
        <v>550.3600000000006</v>
      </c>
      <c r="DA37" s="114">
        <f t="shared" si="82"/>
        <v>594.5210000000043</v>
      </c>
      <c r="DB37" s="64">
        <f aca="true" t="shared" si="83" ref="DB37:DG37">+DB30-DB35</f>
        <v>21488.210999999996</v>
      </c>
      <c r="DC37" s="114">
        <f t="shared" si="83"/>
        <v>120844.81</v>
      </c>
      <c r="DD37" s="64">
        <f t="shared" si="83"/>
        <v>0</v>
      </c>
      <c r="DE37" s="64">
        <f t="shared" si="83"/>
        <v>0</v>
      </c>
      <c r="DF37" s="64">
        <f t="shared" si="83"/>
        <v>0</v>
      </c>
      <c r="DG37" s="64">
        <f t="shared" si="83"/>
        <v>-9684.375</v>
      </c>
      <c r="DH37" s="64">
        <f>+DH30-DH35</f>
        <v>0</v>
      </c>
      <c r="DI37" s="64">
        <f>+DI30-DI35</f>
        <v>518.5799999999999</v>
      </c>
      <c r="DJ37" s="64">
        <f>+DJ30-DJ35</f>
        <v>0</v>
      </c>
      <c r="DK37" s="64">
        <f>+DK30-DK35</f>
        <v>1628.0999999999985</v>
      </c>
    </row>
    <row r="38" spans="1:3" ht="12.75">
      <c r="A38" s="17" t="s">
        <v>154</v>
      </c>
      <c r="B38" s="17"/>
      <c r="C38" s="17"/>
    </row>
    <row r="39" spans="2:115" ht="12.75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128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</row>
    <row r="40" spans="1:3" s="1" customFormat="1" ht="15">
      <c r="A40" s="162" t="s">
        <v>76</v>
      </c>
      <c r="B40" s="31"/>
      <c r="C40" s="31"/>
    </row>
    <row r="41" spans="1:136" s="1" customFormat="1" ht="12.75">
      <c r="A41" s="60" t="s">
        <v>53</v>
      </c>
      <c r="B41" s="167"/>
      <c r="C41" s="168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</row>
    <row r="42" spans="1:115" s="1" customFormat="1" ht="12.75">
      <c r="A42" s="56" t="s">
        <v>72</v>
      </c>
      <c r="B42" s="102">
        <f>TALLERES!B10/TALLERES!B15</f>
        <v>1.4629340687984136</v>
      </c>
      <c r="C42" s="102">
        <f>TALLERES!C10/TALLERES!C15</f>
        <v>1.4963744149061993</v>
      </c>
      <c r="D42" s="102">
        <f>TALLERES!D10/TALLERES!D15</f>
        <v>1.8709094989949855</v>
      </c>
      <c r="E42" s="102">
        <f>TALLERES!E10/TALLERES!E15</f>
        <v>1.35807484955229</v>
      </c>
      <c r="F42" s="102">
        <f>TALLERES!F10/TALLERES!F15</f>
        <v>1.8049866659436995</v>
      </c>
      <c r="G42" s="102">
        <f>TALLERES!G10/TALLERES!G15</f>
        <v>1.8301279268555688</v>
      </c>
      <c r="H42" s="102">
        <f>TALLERES!H10/TALLERES!H15</f>
        <v>1.503585742265641</v>
      </c>
      <c r="I42" s="102">
        <f>TALLERES!I10/TALLERES!I15</f>
        <v>1.586908855172291</v>
      </c>
      <c r="J42" s="102">
        <f>TALLERES!J10/TALLERES!J15</f>
        <v>1.346286112286536</v>
      </c>
      <c r="K42" s="102">
        <f>TALLERES!K10/TALLERES!K15</f>
        <v>1.4920967358148316</v>
      </c>
      <c r="L42" s="102">
        <f>TALLERES!L10/TALLERES!L15</f>
        <v>2.526582804732041</v>
      </c>
      <c r="M42" s="102">
        <f>TALLERES!M10/TALLERES!M15</f>
        <v>1.585781827835366</v>
      </c>
      <c r="N42" s="102">
        <f>TALLERES!N10/TALLERES!N15</f>
        <v>3.990209758331041</v>
      </c>
      <c r="O42" s="102" t="e">
        <f>TALLERES!O10/TALLERES!O15</f>
        <v>#DIV/0!</v>
      </c>
      <c r="P42" s="102">
        <f>TALLERES!P10/TALLERES!P15</f>
        <v>0.287672541448248</v>
      </c>
      <c r="Q42" s="102">
        <f>TALLERES!Q10/TALLERES!Q15</f>
        <v>0.1637437424336616</v>
      </c>
      <c r="R42" s="102">
        <f>TALLERES!R10/TALLERES!R15</f>
        <v>2.6999344083582426</v>
      </c>
      <c r="S42" s="102">
        <f>TALLERES!S10/TALLERES!S15</f>
        <v>5.125371400252289</v>
      </c>
      <c r="T42" s="102">
        <f>TALLERES!T10/TALLERES!T15</f>
        <v>3110.53078125</v>
      </c>
      <c r="U42" s="102">
        <f>TALLERES!U10/TALLERES!U15</f>
        <v>5450.384967672414</v>
      </c>
      <c r="V42" s="102">
        <f>TALLERES!V10/TALLERES!V15</f>
        <v>1.398491211319765</v>
      </c>
      <c r="W42" s="102">
        <f>TALLERES!W10/TALLERES!W15</f>
        <v>1.013995663030385</v>
      </c>
      <c r="X42" s="102">
        <f>TALLERES!X10/TALLERES!X15</f>
        <v>4.452433423803879</v>
      </c>
      <c r="Y42" s="102">
        <f>TALLERES!Y10/TALLERES!Y15</f>
        <v>6.303223245480855</v>
      </c>
      <c r="Z42" s="102">
        <f>TALLERES!Z10/TALLERES!Z15</f>
        <v>3.1172159031742055</v>
      </c>
      <c r="AA42" s="102">
        <f>TALLERES!AA10/TALLERES!AA15</f>
        <v>3.978304915728921</v>
      </c>
      <c r="AB42" s="102">
        <f>TALLERES!AB10/TALLERES!AB15</f>
        <v>9.213792365656822</v>
      </c>
      <c r="AC42" s="102">
        <f>TALLERES!AC10/TALLERES!AC15</f>
        <v>10.521067771257623</v>
      </c>
      <c r="AD42" s="102">
        <f>TALLERES!AD10/TALLERES!AD15</f>
        <v>4.299370129778876</v>
      </c>
      <c r="AE42" s="102">
        <f>TALLERES!AE10/TALLERES!AE15</f>
        <v>4.035858687461456</v>
      </c>
      <c r="AF42" s="102">
        <f>TALLERES!AF10/TALLERES!AF15</f>
        <v>2.5532826307965055</v>
      </c>
      <c r="AG42" s="102">
        <f>TALLERES!AG10/TALLERES!AG15</f>
        <v>2.416574091261932</v>
      </c>
      <c r="AH42" s="102">
        <f>TALLERES!AH10/TALLERES!AH15</f>
        <v>1.3533484946528793</v>
      </c>
      <c r="AI42" s="102">
        <f>TALLERES!AI10/TALLERES!AI15</f>
        <v>0.9094932964477008</v>
      </c>
      <c r="AJ42" s="102">
        <f>TALLERES!AJ10/TALLERES!AJ15</f>
        <v>0.9720786813846634</v>
      </c>
      <c r="AK42" s="102" t="e">
        <f>TALLERES!AK10/TALLERES!AK15</f>
        <v>#DIV/0!</v>
      </c>
      <c r="AL42" s="102">
        <f>TALLERES!AL10/TALLERES!AL15</f>
        <v>1.2222943164038838</v>
      </c>
      <c r="AM42" s="102">
        <f>TALLERES!AM10/TALLERES!AM15</f>
        <v>1.20416220765521</v>
      </c>
      <c r="AN42" s="102">
        <f>TALLERES!AN10/TALLERES!AN15</f>
        <v>1.5089405191211682</v>
      </c>
      <c r="AO42" s="102">
        <f>TALLERES!AO10/TALLERES!AO15</f>
        <v>3.8510517706836636</v>
      </c>
      <c r="AP42" s="102">
        <f>TALLERES!AP10/TALLERES!AP15</f>
        <v>-446.5653827184513</v>
      </c>
      <c r="AQ42" s="102">
        <f>TALLERES!AQ10/TALLERES!AQ15</f>
        <v>67.23630272244161</v>
      </c>
      <c r="AR42" s="102">
        <f>TALLERES!AR10/TALLERES!AR15</f>
        <v>2.7348401095607207</v>
      </c>
      <c r="AS42" s="102">
        <f>TALLERES!AS10/TALLERES!AS15</f>
        <v>2.2065900834235572</v>
      </c>
      <c r="AT42" s="102">
        <f>TALLERES!AT10/TALLERES!AT15</f>
        <v>27.653714346973473</v>
      </c>
      <c r="AU42" s="102">
        <f>TALLERES!AU10/TALLERES!AU15</f>
        <v>3.28937250270148</v>
      </c>
      <c r="AV42" s="102">
        <f>TALLERES!AV10/TALLERES!AV15</f>
        <v>0.021217075280406273</v>
      </c>
      <c r="AW42" s="102" t="e">
        <f>TALLERES!AW10/TALLERES!AW15</f>
        <v>#DIV/0!</v>
      </c>
      <c r="AX42" s="102">
        <f>TALLERES!AX10/TALLERES!AX15</f>
        <v>3.479402247280176</v>
      </c>
      <c r="AY42" s="102">
        <f>TALLERES!AY10/TALLERES!AY15</f>
        <v>1.6959719018319457</v>
      </c>
      <c r="AZ42" s="102">
        <f>TALLERES!AZ10/TALLERES!AZ15</f>
        <v>0.0568569498264781</v>
      </c>
      <c r="BA42" s="102">
        <f>TALLERES!BA10/TALLERES!BA15</f>
        <v>0.01778378940141106</v>
      </c>
      <c r="BB42" s="102">
        <f>TALLERES!BB10/TALLERES!BB15</f>
        <v>7.236206028778043</v>
      </c>
      <c r="BC42" s="102">
        <f>TALLERES!BC10/TALLERES!BC15</f>
        <v>4.308094963317122</v>
      </c>
      <c r="BD42" s="102" t="e">
        <f>TALLERES!BD10/TALLERES!BD15</f>
        <v>#DIV/0!</v>
      </c>
      <c r="BE42" s="102">
        <f>TALLERES!BE10/TALLERES!BE15</f>
        <v>1.0671819769894053</v>
      </c>
      <c r="BF42" s="102" t="e">
        <f>TALLERES!BF10/TALLERES!BF15</f>
        <v>#DIV/0!</v>
      </c>
      <c r="BG42" s="102">
        <f>TALLERES!BG10/TALLERES!BG15</f>
        <v>1.8461744921124932</v>
      </c>
      <c r="BH42" s="102" t="e">
        <f>TALLERES!BH10/TALLERES!BH15</f>
        <v>#DIV/0!</v>
      </c>
      <c r="BI42" s="102">
        <f>TALLERES!BI10/TALLERES!BI15</f>
        <v>1.710526617169077</v>
      </c>
      <c r="BJ42" s="102">
        <f>TALLERES!BJ10/TALLERES!BJ15</f>
        <v>1.3382256985435965</v>
      </c>
      <c r="BK42" s="102">
        <f>TALLERES!BK10/TALLERES!BK15</f>
        <v>1.354192715965492</v>
      </c>
      <c r="BL42" s="102">
        <f>TALLERES!BL10/TALLERES!BL15</f>
        <v>3.0978194355648916</v>
      </c>
      <c r="BM42" s="102">
        <f>TALLERES!BM10/TALLERES!BM15</f>
        <v>3.838950151462984</v>
      </c>
      <c r="BN42" s="102" t="e">
        <f>TALLERES!BN10/TALLERES!BN15</f>
        <v>#DIV/0!</v>
      </c>
      <c r="BO42" s="102">
        <f>TALLERES!BO10/TALLERES!BO15</f>
        <v>1.599498872114721</v>
      </c>
      <c r="BP42" s="102" t="e">
        <f>TALLERES!BP10/TALLERES!BP15</f>
        <v>#DIV/0!</v>
      </c>
      <c r="BQ42" s="102">
        <f>TALLERES!BQ10/TALLERES!BQ15</f>
        <v>1.3828712209385507</v>
      </c>
      <c r="BR42" s="102">
        <f>TALLERES!BR10/TALLERES!BR15</f>
        <v>2.5677934826963256</v>
      </c>
      <c r="BS42" s="102">
        <f>TALLERES!BS10/TALLERES!BS15</f>
        <v>1.7654536066447426</v>
      </c>
      <c r="BT42" s="102">
        <f>TALLERES!BT10/TALLERES!BT15</f>
        <v>1.8190881062653645</v>
      </c>
      <c r="BU42" s="102">
        <f>TALLERES!BU10/TALLERES!BU15</f>
        <v>1.932410226187331</v>
      </c>
      <c r="BV42" s="102" t="e">
        <f>TALLERES!BV10/TALLERES!BV15</f>
        <v>#DIV/0!</v>
      </c>
      <c r="BW42" s="102">
        <f>TALLERES!BW10/TALLERES!BW15</f>
        <v>1.7697193338239758</v>
      </c>
      <c r="BX42" s="102" t="e">
        <f>TALLERES!BX10/TALLERES!BX15</f>
        <v>#DIV/0!</v>
      </c>
      <c r="BY42" s="102">
        <f>TALLERES!BY10/TALLERES!BY15</f>
        <v>2.0056127898755913</v>
      </c>
      <c r="BZ42" s="102">
        <f>TALLERES!BZ10/TALLERES!BZ15</f>
        <v>1.5236570131247573</v>
      </c>
      <c r="CA42" s="102">
        <f>TALLERES!CA10/TALLERES!CA15</f>
        <v>1.4485080785367765</v>
      </c>
      <c r="CB42" s="102">
        <f>TALLERES!CB10/TALLERES!CB15</f>
        <v>14.366539059490623</v>
      </c>
      <c r="CC42" s="102">
        <f>TALLERES!CC10/TALLERES!CC15</f>
        <v>7.879899045679842</v>
      </c>
      <c r="CD42" s="102" t="e">
        <f>TALLERES!CD10/TALLERES!CD15</f>
        <v>#DIV/0!</v>
      </c>
      <c r="CE42" s="102">
        <f>TALLERES!CE10/TALLERES!CE15</f>
        <v>1.9989435556897073</v>
      </c>
      <c r="CF42" s="102" t="e">
        <f>TALLERES!CF10/TALLERES!CF15</f>
        <v>#DIV/0!</v>
      </c>
      <c r="CG42" s="102">
        <f>TALLERES!CG10/TALLERES!CG15</f>
        <v>2.399127503980531</v>
      </c>
      <c r="CH42" s="102" t="e">
        <f>TALLERES!CH10/TALLERES!CH15</f>
        <v>#DIV/0!</v>
      </c>
      <c r="CI42" s="102">
        <f>TALLERES!CI10/TALLERES!CI15</f>
        <v>0.9402168497348817</v>
      </c>
      <c r="CJ42" s="102" t="e">
        <f>TALLERES!CJ10/TALLERES!CJ15</f>
        <v>#DIV/0!</v>
      </c>
      <c r="CK42" s="102">
        <f>TALLERES!CK10/TALLERES!CK15</f>
        <v>2.073777332665665</v>
      </c>
      <c r="CL42" s="102">
        <f>TALLERES!CL10/TALLERES!CL15</f>
        <v>2.701342629611471</v>
      </c>
      <c r="CM42" s="102">
        <f>TALLERES!CM10/TALLERES!CM15</f>
        <v>2.727323928253898</v>
      </c>
      <c r="CN42" s="102" t="e">
        <f>TALLERES!CN10/TALLERES!CN15</f>
        <v>#DIV/0!</v>
      </c>
      <c r="CO42" s="102">
        <f>TALLERES!CO10/TALLERES!CO15</f>
        <v>8.046563146499407</v>
      </c>
      <c r="CP42" s="102" t="e">
        <f>TALLERES!CP10/TALLERES!CP15</f>
        <v>#DIV/0!</v>
      </c>
      <c r="CQ42" s="102">
        <f>TALLERES!CQ10/TALLERES!CQ15</f>
        <v>2.8710993743445945</v>
      </c>
      <c r="CR42" s="102">
        <f>TALLERES!CR10/TALLERES!CR15</f>
        <v>1.0769503628474821</v>
      </c>
      <c r="CS42" s="102">
        <f>TALLERES!CS10/TALLERES!CS15</f>
        <v>4.272820049584163</v>
      </c>
      <c r="CT42" s="102">
        <f>TALLERES!CT10/TALLERES!CT15</f>
        <v>9.768308644381639</v>
      </c>
      <c r="CU42" s="102">
        <f>TALLERES!CU10/TALLERES!CU15</f>
        <v>16.229362779196755</v>
      </c>
      <c r="CV42" s="102" t="e">
        <f>TALLERES!CV10/TALLERES!CV15</f>
        <v>#DIV/0!</v>
      </c>
      <c r="CW42" s="102">
        <f>TALLERES!CW10/TALLERES!CW15</f>
        <v>26.969540356278866</v>
      </c>
      <c r="CX42" s="102" t="e">
        <f>TALLERES!CX10/TALLERES!CX15</f>
        <v>#DIV/0!</v>
      </c>
      <c r="CY42" s="102">
        <f>TALLERES!CY10/TALLERES!CY15</f>
        <v>0.20638014835609814</v>
      </c>
      <c r="CZ42" s="102">
        <f>TALLERES!CZ10/TALLERES!CZ15</f>
        <v>1.4415187040662016</v>
      </c>
      <c r="DA42" s="102">
        <f>TALLERES!DA10/TALLERES!DA15</f>
        <v>1.4190839684898677</v>
      </c>
      <c r="DB42" s="102">
        <f>TALLERES!DB10/TALLERES!DB15</f>
        <v>1.6751064938998037</v>
      </c>
      <c r="DC42" s="102">
        <f>TALLERES!DC10/TALLERES!DC15</f>
        <v>2.080193542419133</v>
      </c>
      <c r="DD42" s="102" t="e">
        <f>TALLERES!DD10/TALLERES!DD15</f>
        <v>#DIV/0!</v>
      </c>
      <c r="DE42" s="102">
        <f>TALLERES!DE10/TALLERES!DE15</f>
        <v>2.2147469940862345</v>
      </c>
      <c r="DF42" s="102" t="e">
        <f>TALLERES!DF10/TALLERES!DF15</f>
        <v>#DIV/0!</v>
      </c>
      <c r="DG42" s="102">
        <f>TALLERES!DG10/TALLERES!DG15</f>
        <v>4.102638702175653</v>
      </c>
      <c r="DH42" s="102" t="e">
        <f>TALLERES!DH10/TALLERES!DH15</f>
        <v>#DIV/0!</v>
      </c>
      <c r="DI42" s="102">
        <f>TALLERES!DI10/TALLERES!DI15</f>
        <v>0.7053291536050157</v>
      </c>
      <c r="DJ42" s="102" t="e">
        <f>TALLERES!DJ10/TALLERES!DJ15</f>
        <v>#DIV/0!</v>
      </c>
      <c r="DK42" s="102">
        <f>TALLERES!DK10/TALLERES!DK15</f>
        <v>22.088381088825216</v>
      </c>
    </row>
    <row r="43" spans="1:115" s="1" customFormat="1" ht="12.75">
      <c r="A43" s="55" t="s">
        <v>54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</row>
    <row r="44" spans="1:115" s="1" customFormat="1" ht="12.75">
      <c r="A44" s="57" t="s">
        <v>20</v>
      </c>
      <c r="B44" s="53">
        <f>+TALLERES!B15/TALLERES!B18</f>
        <v>0.8127790151147511</v>
      </c>
      <c r="C44" s="53">
        <f>+TALLERES!C15/TALLERES!C18</f>
        <v>0.8272131510443747</v>
      </c>
      <c r="D44" s="53">
        <f>+TALLERES!D15/TALLERES!D18</f>
        <v>0.25589847623544515</v>
      </c>
      <c r="E44" s="53">
        <f>+TALLERES!E15/TALLERES!E18</f>
        <v>0.42079925748199193</v>
      </c>
      <c r="F44" s="53">
        <f>+TALLERES!F15/TALLERES!F18</f>
        <v>1</v>
      </c>
      <c r="G44" s="53">
        <f>+TALLERES!G15/TALLERES!G18</f>
        <v>1</v>
      </c>
      <c r="H44" s="53">
        <f>+TALLERES!H15/TALLERES!H18</f>
        <v>1</v>
      </c>
      <c r="I44" s="53">
        <f>+TALLERES!I15/TALLERES!I18</f>
        <v>1</v>
      </c>
      <c r="J44" s="53">
        <f>+TALLERES!J15/TALLERES!J18</f>
        <v>0.8056593469870831</v>
      </c>
      <c r="K44" s="53">
        <f>+TALLERES!K15/TALLERES!K18</f>
        <v>0.7377053147826014</v>
      </c>
      <c r="L44" s="53">
        <f>+TALLERES!L15/TALLERES!L18</f>
        <v>0.29854885806662124</v>
      </c>
      <c r="M44" s="53">
        <f>+TALLERES!M15/TALLERES!M18</f>
        <v>0.5412332323948091</v>
      </c>
      <c r="N44" s="53">
        <f>+TALLERES!N15/TALLERES!N18</f>
        <v>1</v>
      </c>
      <c r="O44" s="53">
        <f>+TALLERES!O15/TALLERES!O18</f>
        <v>0</v>
      </c>
      <c r="P44" s="53">
        <f>+TALLERES!P15/TALLERES!P18</f>
        <v>1</v>
      </c>
      <c r="Q44" s="53">
        <f>+TALLERES!Q15/TALLERES!Q18</f>
        <v>1</v>
      </c>
      <c r="R44" s="53">
        <f>+TALLERES!R15/TALLERES!R18</f>
        <v>0.8916470390840007</v>
      </c>
      <c r="S44" s="53">
        <f>+TALLERES!S15/TALLERES!S18</f>
        <v>1</v>
      </c>
      <c r="T44" s="53">
        <f>+TALLERES!T15/TALLERES!T18</f>
        <v>1</v>
      </c>
      <c r="U44" s="53">
        <f>+TALLERES!U15/TALLERES!U18</f>
        <v>1</v>
      </c>
      <c r="V44" s="53">
        <f>+TALLERES!V15/TALLERES!V18</f>
        <v>0.99985043780979</v>
      </c>
      <c r="W44" s="53">
        <f>+TALLERES!W15/TALLERES!W18</f>
        <v>0.9628163464422811</v>
      </c>
      <c r="X44" s="53">
        <f>+TALLERES!X15/TALLERES!X18</f>
        <v>1</v>
      </c>
      <c r="Y44" s="53">
        <f>+TALLERES!Y15/TALLERES!Y18</f>
        <v>1</v>
      </c>
      <c r="Z44" s="53">
        <f>+TALLERES!Z15/TALLERES!Z18</f>
        <v>1</v>
      </c>
      <c r="AA44" s="53">
        <f>+TALLERES!AA15/TALLERES!AA18</f>
        <v>1</v>
      </c>
      <c r="AB44" s="53">
        <f>+TALLERES!AB15/TALLERES!AB18</f>
        <v>0.8362043420162476</v>
      </c>
      <c r="AC44" s="53">
        <f>+TALLERES!AC15/TALLERES!AC18</f>
        <v>0.6832010062102036</v>
      </c>
      <c r="AD44" s="53">
        <f>+TALLERES!AD15/TALLERES!AD18</f>
        <v>1</v>
      </c>
      <c r="AE44" s="53">
        <f>+TALLERES!AE15/TALLERES!AE18</f>
        <v>1</v>
      </c>
      <c r="AF44" s="53">
        <f>+TALLERES!AF15/TALLERES!AF18</f>
        <v>0.3003942223468914</v>
      </c>
      <c r="AG44" s="53">
        <f>+TALLERES!AG15/TALLERES!AG18</f>
        <v>0.30715139317493106</v>
      </c>
      <c r="AH44" s="53">
        <f>+TALLERES!AH15/TALLERES!AH18</f>
        <v>0.6563589362573248</v>
      </c>
      <c r="AI44" s="53">
        <f>+TALLERES!AI15/TALLERES!AI18</f>
        <v>0.709958952403213</v>
      </c>
      <c r="AJ44" s="53">
        <f>+TALLERES!AJ15/TALLERES!AJ18</f>
        <v>1</v>
      </c>
      <c r="AK44" s="53" t="e">
        <f>+TALLERES!AK15/TALLERES!AK18</f>
        <v>#DIV/0!</v>
      </c>
      <c r="AL44" s="53">
        <f>+TALLERES!AL15/TALLERES!AL18</f>
        <v>1</v>
      </c>
      <c r="AM44" s="53">
        <f>+TALLERES!AM15/TALLERES!AM18</f>
        <v>1</v>
      </c>
      <c r="AN44" s="53">
        <f>+TALLERES!AN15/TALLERES!AN18</f>
        <v>1</v>
      </c>
      <c r="AO44" s="53">
        <f>+TALLERES!AO15/TALLERES!AO18</f>
        <v>1</v>
      </c>
      <c r="AP44" s="53">
        <f>+TALLERES!AP15/TALLERES!AP18</f>
        <v>-0.1185735987385677</v>
      </c>
      <c r="AQ44" s="53">
        <f>+TALLERES!AQ15/TALLERES!AQ18</f>
        <v>0.4174873015339074</v>
      </c>
      <c r="AR44" s="53">
        <f>+TALLERES!AR15/TALLERES!AR18</f>
        <v>1</v>
      </c>
      <c r="AS44" s="53">
        <f>+TALLERES!AS15/TALLERES!AS18</f>
        <v>1</v>
      </c>
      <c r="AT44" s="53">
        <f>+TALLERES!AT15/TALLERES!AT18</f>
        <v>1</v>
      </c>
      <c r="AU44" s="53">
        <f>+TALLERES!AU15/TALLERES!AU18</f>
        <v>1</v>
      </c>
      <c r="AV44" s="53">
        <f>+TALLERES!AV15/TALLERES!AV18</f>
        <v>0.5328071663453321</v>
      </c>
      <c r="AW44" s="53" t="e">
        <f>+TALLERES!AW15/TALLERES!AW18</f>
        <v>#DIV/0!</v>
      </c>
      <c r="AX44" s="53">
        <f>+TALLERES!AX15/TALLERES!AX18</f>
        <v>1</v>
      </c>
      <c r="AY44" s="53">
        <f>+TALLERES!AY15/TALLERES!AY18</f>
        <v>1</v>
      </c>
      <c r="AZ44" s="53">
        <f>+TALLERES!AZ15/TALLERES!AZ18</f>
        <v>1</v>
      </c>
      <c r="BA44" s="53">
        <f>+TALLERES!BA15/TALLERES!BA18</f>
        <v>0.9705428242127353</v>
      </c>
      <c r="BB44" s="53">
        <f>+TALLERES!BB15/TALLERES!BB18</f>
        <v>0.044772009450746164</v>
      </c>
      <c r="BC44" s="53">
        <f>+TALLERES!BC15/TALLERES!BC18</f>
        <v>0.1131885257962645</v>
      </c>
      <c r="BD44" s="53" t="e">
        <f>+TALLERES!BD15/TALLERES!BD18</f>
        <v>#DIV/0!</v>
      </c>
      <c r="BE44" s="53">
        <f>+TALLERES!BE15/TALLERES!BE18</f>
        <v>0.5660115531284605</v>
      </c>
      <c r="BF44" s="53" t="e">
        <f>+TALLERES!BF15/TALLERES!BF18</f>
        <v>#DIV/0!</v>
      </c>
      <c r="BG44" s="53">
        <f>+TALLERES!BG15/TALLERES!BG18</f>
        <v>1</v>
      </c>
      <c r="BH44" s="53" t="e">
        <f>+TALLERES!BH15/TALLERES!BH18</f>
        <v>#DIV/0!</v>
      </c>
      <c r="BI44" s="53">
        <f>+TALLERES!BI15/TALLERES!BI18</f>
        <v>0.7736814465758187</v>
      </c>
      <c r="BJ44" s="53">
        <f>+TALLERES!BJ15/TALLERES!BJ18</f>
        <v>0.9492200631689035</v>
      </c>
      <c r="BK44" s="53">
        <f>+TALLERES!BK15/TALLERES!BK18</f>
        <v>0.9617370748641824</v>
      </c>
      <c r="BL44" s="53">
        <f>+TALLERES!BL15/TALLERES!BL18</f>
        <v>0.1633234509891667</v>
      </c>
      <c r="BM44" s="53">
        <f>+TALLERES!BM15/TALLERES!BM18</f>
        <v>0.13409767583908735</v>
      </c>
      <c r="BN44" s="53" t="e">
        <f>+TALLERES!BN15/TALLERES!BN18</f>
        <v>#DIV/0!</v>
      </c>
      <c r="BO44" s="53">
        <f>+TALLERES!BO15/TALLERES!BO18</f>
        <v>1</v>
      </c>
      <c r="BP44" s="53" t="e">
        <f>+TALLERES!BP15/TALLERES!BP18</f>
        <v>#DIV/0!</v>
      </c>
      <c r="BQ44" s="53">
        <f>+TALLERES!BQ15/TALLERES!BQ18</f>
        <v>0.8286521400715432</v>
      </c>
      <c r="BR44" s="53">
        <f>+TALLERES!BR15/TALLERES!BR18</f>
        <v>0.9175029825710612</v>
      </c>
      <c r="BS44" s="53">
        <f>+TALLERES!BS15/TALLERES!BS18</f>
        <v>0.4234223684537442</v>
      </c>
      <c r="BT44" s="53">
        <f>+TALLERES!BT15/TALLERES!BT18</f>
        <v>1</v>
      </c>
      <c r="BU44" s="53">
        <f>+TALLERES!BU15/TALLERES!BU18</f>
        <v>1</v>
      </c>
      <c r="BV44" s="53" t="e">
        <f>+TALLERES!BV15/TALLERES!BV18</f>
        <v>#DIV/0!</v>
      </c>
      <c r="BW44" s="53">
        <f>+TALLERES!BW15/TALLERES!BW18</f>
        <v>1</v>
      </c>
      <c r="BX44" s="53" t="e">
        <f>+TALLERES!BX15/TALLERES!BX18</f>
        <v>#DIV/0!</v>
      </c>
      <c r="BY44" s="53">
        <f>+TALLERES!BY15/TALLERES!BY18</f>
        <v>1</v>
      </c>
      <c r="BZ44" s="53">
        <f>+TALLERES!BZ15/TALLERES!BZ18</f>
        <v>1</v>
      </c>
      <c r="CA44" s="53">
        <f>+TALLERES!CA15/TALLERES!CA18</f>
        <v>1</v>
      </c>
      <c r="CB44" s="53">
        <f>+TALLERES!CB15/TALLERES!CB18</f>
        <v>1</v>
      </c>
      <c r="CC44" s="53">
        <f>+TALLERES!CC15/TALLERES!CC18</f>
        <v>1</v>
      </c>
      <c r="CD44" s="53" t="e">
        <f>+TALLERES!CD15/TALLERES!CD18</f>
        <v>#DIV/0!</v>
      </c>
      <c r="CE44" s="53">
        <f>+TALLERES!CE15/TALLERES!CE18</f>
        <v>0.1881264018625252</v>
      </c>
      <c r="CF44" s="53" t="e">
        <f>+TALLERES!CF15/TALLERES!CF18</f>
        <v>#DIV/0!</v>
      </c>
      <c r="CG44" s="53">
        <f>+TALLERES!CG15/TALLERES!CG18</f>
        <v>1</v>
      </c>
      <c r="CH44" s="53" t="e">
        <f>+TALLERES!CH15/TALLERES!CH18</f>
        <v>#DIV/0!</v>
      </c>
      <c r="CI44" s="53">
        <f>+TALLERES!CI15/TALLERES!CI18</f>
        <v>1</v>
      </c>
      <c r="CJ44" s="53" t="e">
        <f>+TALLERES!CJ15/TALLERES!CJ18</f>
        <v>#DIV/0!</v>
      </c>
      <c r="CK44" s="53">
        <f>+TALLERES!CK15/TALLERES!CK18</f>
        <v>1</v>
      </c>
      <c r="CL44" s="53">
        <f>+TALLERES!CL15/TALLERES!CL18</f>
        <v>1</v>
      </c>
      <c r="CM44" s="53">
        <f>+TALLERES!CM15/TALLERES!CM18</f>
        <v>1</v>
      </c>
      <c r="CN44" s="53" t="e">
        <f>+TALLERES!CN15/TALLERES!CN18</f>
        <v>#DIV/0!</v>
      </c>
      <c r="CO44" s="53">
        <f>+TALLERES!CO15/TALLERES!CO18</f>
        <v>0.5360144066180759</v>
      </c>
      <c r="CP44" s="53" t="e">
        <f>+TALLERES!CP15/TALLERES!CP18</f>
        <v>#DIV/0!</v>
      </c>
      <c r="CQ44" s="53">
        <f>+TALLERES!CQ15/TALLERES!CQ18</f>
        <v>1</v>
      </c>
      <c r="CR44" s="53">
        <f>+TALLERES!CR15/TALLERES!CR18</f>
        <v>1</v>
      </c>
      <c r="CS44" s="53">
        <f>+TALLERES!CS15/TALLERES!CS18</f>
        <v>1</v>
      </c>
      <c r="CT44" s="53">
        <f>+TALLERES!CT15/TALLERES!CT18</f>
        <v>1</v>
      </c>
      <c r="CU44" s="53">
        <f>+TALLERES!CU15/TALLERES!CU18</f>
        <v>1</v>
      </c>
      <c r="CV44" s="53" t="e">
        <f>+TALLERES!CV15/TALLERES!CV18</f>
        <v>#DIV/0!</v>
      </c>
      <c r="CW44" s="53">
        <f>+TALLERES!CW15/TALLERES!CW18</f>
        <v>1</v>
      </c>
      <c r="CX44" s="53" t="e">
        <f>+TALLERES!CX15/TALLERES!CX18</f>
        <v>#DIV/0!</v>
      </c>
      <c r="CY44" s="53">
        <f>+TALLERES!CY15/TALLERES!CY18</f>
        <v>0.8485844134097337</v>
      </c>
      <c r="CZ44" s="53">
        <f>+TALLERES!CZ15/TALLERES!CZ18</f>
        <v>1</v>
      </c>
      <c r="DA44" s="53">
        <f>+TALLERES!DA15/TALLERES!DA18</f>
        <v>1</v>
      </c>
      <c r="DB44" s="53">
        <f>+TALLERES!DB15/TALLERES!DB18</f>
        <v>1</v>
      </c>
      <c r="DC44" s="53">
        <f>+TALLERES!DC15/TALLERES!DC18</f>
        <v>1</v>
      </c>
      <c r="DD44" s="53" t="e">
        <f>+TALLERES!DD15/TALLERES!DD18</f>
        <v>#DIV/0!</v>
      </c>
      <c r="DE44" s="53">
        <f>+TALLERES!DE15/TALLERES!DE18</f>
        <v>1</v>
      </c>
      <c r="DF44" s="53" t="e">
        <f>+TALLERES!DF15/TALLERES!DF18</f>
        <v>#DIV/0!</v>
      </c>
      <c r="DG44" s="53">
        <f>+TALLERES!DG15/TALLERES!DG18</f>
        <v>1</v>
      </c>
      <c r="DH44" s="53" t="e">
        <f>+TALLERES!DH15/TALLERES!DH18</f>
        <v>#DIV/0!</v>
      </c>
      <c r="DI44" s="53">
        <f>+TALLERES!DI15/TALLERES!DI18</f>
        <v>1</v>
      </c>
      <c r="DJ44" s="53" t="e">
        <f>+TALLERES!DJ15/TALLERES!DJ18</f>
        <v>#DIV/0!</v>
      </c>
      <c r="DK44" s="53">
        <f>+TALLERES!DK15/TALLERES!DK18</f>
        <v>1</v>
      </c>
    </row>
    <row r="45" spans="1:115" s="1" customFormat="1" ht="12.75">
      <c r="A45" s="57" t="s">
        <v>55</v>
      </c>
      <c r="B45" s="52">
        <f>TALLERES!B18/TALLERES!B24</f>
        <v>1.365197253705902</v>
      </c>
      <c r="C45" s="52">
        <f>TALLERES!C18/TALLERES!C24</f>
        <v>1.1920109832135035</v>
      </c>
      <c r="D45" s="52">
        <f>TALLERES!D18/TALLERES!D24</f>
        <v>1.2649832524118219</v>
      </c>
      <c r="E45" s="52">
        <f>TALLERES!E18/TALLERES!E24</f>
        <v>1.334300307068707</v>
      </c>
      <c r="F45" s="52">
        <f>TALLERES!F18/TALLERES!F24</f>
        <v>0.20780028271278345</v>
      </c>
      <c r="G45" s="52">
        <f>TALLERES!G18/TALLERES!G24</f>
        <v>0.10418610724288546</v>
      </c>
      <c r="H45" s="52">
        <f>TALLERES!H18/TALLERES!H24</f>
        <v>0.7519005465821386</v>
      </c>
      <c r="I45" s="52">
        <f>TALLERES!I18/TALLERES!I24</f>
        <v>0.8142992955500757</v>
      </c>
      <c r="J45" s="52">
        <f>TALLERES!J18/TALLERES!J24</f>
        <v>1.3978146452187479</v>
      </c>
      <c r="K45" s="52">
        <f>TALLERES!K18/TALLERES!K24</f>
        <v>1.5278068736383772</v>
      </c>
      <c r="L45" s="52">
        <f>TALLERES!L18/TALLERES!L24</f>
        <v>1.2906981574319394</v>
      </c>
      <c r="M45" s="52">
        <f>TALLERES!M18/TALLERES!M24</f>
        <v>1.2440772922190944</v>
      </c>
      <c r="N45" s="52">
        <f>TALLERES!N18/TALLERES!N24</f>
        <v>0.24903016740084685</v>
      </c>
      <c r="O45" s="52">
        <f>TALLERES!O18/TALLERES!O24</f>
        <v>0.12271674093832485</v>
      </c>
      <c r="P45" s="52">
        <f>TALLERES!P18/TALLERES!P24</f>
        <v>0.28420782317228843</v>
      </c>
      <c r="Q45" s="52">
        <f>TALLERES!Q18/TALLERES!Q24</f>
        <v>0.2900776737875623</v>
      </c>
      <c r="R45" s="52">
        <f>TALLERES!R18/TALLERES!R24</f>
        <v>0.4555913198069832</v>
      </c>
      <c r="S45" s="52">
        <f>TALLERES!S18/TALLERES!S24</f>
        <v>0.14805485949916766</v>
      </c>
      <c r="T45" s="52">
        <f>TALLERES!T18/TALLERES!T24</f>
        <v>0.00018364432323000887</v>
      </c>
      <c r="U45" s="52">
        <f>TALLERES!U18/TALLERES!U24</f>
        <v>0.00010552321168673208</v>
      </c>
      <c r="V45" s="52">
        <f>TALLERES!V18/TALLERES!V24</f>
        <v>1.1153117686959408</v>
      </c>
      <c r="W45" s="52">
        <f>TALLERES!W18/TALLERES!W24</f>
        <v>1.8196609181378354</v>
      </c>
      <c r="X45" s="52">
        <f>TALLERES!X18/TALLERES!X24</f>
        <v>0.18330325516913815</v>
      </c>
      <c r="Y45" s="52">
        <f>TALLERES!Y18/TALLERES!Y24</f>
        <v>0.18856456903806956</v>
      </c>
      <c r="Z45" s="52">
        <f>TALLERES!Z18/TALLERES!Z24</f>
        <v>0.32724640503638525</v>
      </c>
      <c r="AA45" s="52">
        <f>TALLERES!AA18/TALLERES!AA24</f>
        <v>0.26050665398408795</v>
      </c>
      <c r="AB45" s="52">
        <f>TALLERES!AB18/TALLERES!AB24</f>
        <v>0.14028638165500862</v>
      </c>
      <c r="AC45" s="52">
        <f>TALLERES!AC18/TALLERES!AC24</f>
        <v>0.14039031029852667</v>
      </c>
      <c r="AD45" s="52">
        <f>TALLERES!AD18/TALLERES!AD24</f>
        <v>0.12841491993295717</v>
      </c>
      <c r="AE45" s="52">
        <f>TALLERES!AE18/TALLERES!AE24</f>
        <v>0.12100194579228647</v>
      </c>
      <c r="AF45" s="52">
        <f>TALLERES!AF18/TALLERES!AF24</f>
        <v>0.7189827131260155</v>
      </c>
      <c r="AG45" s="52">
        <f>TALLERES!AG18/TALLERES!AG24</f>
        <v>0.4663572819366874</v>
      </c>
      <c r="AH45" s="52">
        <f>TALLERES!AH18/TALLERES!AH24</f>
        <v>1.9731170467808579</v>
      </c>
      <c r="AI45" s="52">
        <f>TALLERES!AI18/TALLERES!AI24</f>
        <v>4.052465467456186</v>
      </c>
      <c r="AJ45" s="52">
        <f>TALLERES!AJ18/TALLERES!AJ24</f>
        <v>1.0902730246172403</v>
      </c>
      <c r="AK45" s="52" t="e">
        <f>TALLERES!AK18/TALLERES!AK24</f>
        <v>#DIV/0!</v>
      </c>
      <c r="AL45" s="52">
        <f>TALLERES!AL18/TALLERES!AL24</f>
        <v>1.0151841202007574</v>
      </c>
      <c r="AM45" s="52">
        <f>TALLERES!AM18/TALLERES!AM24</f>
        <v>1.7593889675882306</v>
      </c>
      <c r="AN45" s="52">
        <f>TALLERES!AN18/TALLERES!AN24</f>
        <v>0.16496027277716155</v>
      </c>
      <c r="AO45" s="52">
        <f>TALLERES!AO18/TALLERES!AO24</f>
        <v>0.08717534651306687</v>
      </c>
      <c r="AP45" s="52">
        <f>TALLERES!AP18/TALLERES!AP24</f>
        <v>0.004654716732499769</v>
      </c>
      <c r="AQ45" s="52">
        <f>TALLERES!AQ18/TALLERES!AQ24</f>
        <v>0.00911600229944736</v>
      </c>
      <c r="AR45" s="52">
        <f>TALLERES!AR18/TALLERES!AR24</f>
        <v>0.5764219967528941</v>
      </c>
      <c r="AS45" s="52">
        <f>TALLERES!AS18/TALLERES!AS24</f>
        <v>0.7785420381738503</v>
      </c>
      <c r="AT45" s="52">
        <f>TALLERES!AT18/TALLERES!AT24</f>
        <v>0.035126768428305415</v>
      </c>
      <c r="AU45" s="52">
        <f>TALLERES!AU18/TALLERES!AU24</f>
        <v>0.43680091327208265</v>
      </c>
      <c r="AV45" s="52">
        <f>TALLERES!AV18/TALLERES!AV24</f>
        <v>0.5546041954277767</v>
      </c>
      <c r="AW45" s="52" t="e">
        <f>TALLERES!AW18/TALLERES!AW24</f>
        <v>#DIV/0!</v>
      </c>
      <c r="AX45" s="52">
        <f>TALLERES!AX18/TALLERES!AX24</f>
        <v>0.03620203512025287</v>
      </c>
      <c r="AY45" s="52">
        <f>TALLERES!AY18/TALLERES!AY24</f>
        <v>0.1552908868253971</v>
      </c>
      <c r="AZ45" s="52">
        <f>TALLERES!AZ18/TALLERES!AZ24</f>
        <v>2.5550066380143</v>
      </c>
      <c r="BA45" s="52">
        <f>TALLERES!BA18/TALLERES!BA24</f>
        <v>-3.331903400901736</v>
      </c>
      <c r="BB45" s="52">
        <f>TALLERES!BB18/TALLERES!BB24</f>
        <v>1.8761440050060219</v>
      </c>
      <c r="BC45" s="52">
        <f>TALLERES!BC18/TALLERES!BC24</f>
        <v>1.6685910833322126</v>
      </c>
      <c r="BD45" s="52" t="e">
        <f>TALLERES!BD18/TALLERES!BD24</f>
        <v>#DIV/0!</v>
      </c>
      <c r="BE45" s="52">
        <f>TALLERES!BE18/TALLERES!BE24</f>
        <v>0.9905996246282368</v>
      </c>
      <c r="BF45" s="52" t="e">
        <f>TALLERES!BF18/TALLERES!BF24</f>
        <v>#DIV/0!</v>
      </c>
      <c r="BG45" s="52">
        <f>TALLERES!BG18/TALLERES!BG24</f>
        <v>0.47421565467991694</v>
      </c>
      <c r="BH45" s="52" t="e">
        <f>TALLERES!BH18/TALLERES!BH24</f>
        <v>#DIV/0!</v>
      </c>
      <c r="BI45" s="52">
        <f>TALLERES!BI18/TALLERES!BI24</f>
        <v>0.9425875945057536</v>
      </c>
      <c r="BJ45" s="52">
        <f>TALLERES!BJ18/TALLERES!BJ24</f>
        <v>3.1039603665427147</v>
      </c>
      <c r="BK45" s="52">
        <f>TALLERES!BK18/TALLERES!BK24</f>
        <v>2.589296764598829</v>
      </c>
      <c r="BL45" s="52">
        <f>TALLERES!BL18/TALLERES!BL24</f>
        <v>0.5254796026495906</v>
      </c>
      <c r="BM45" s="52">
        <f>TALLERES!BM18/TALLERES!BM24</f>
        <v>0.46014313733859824</v>
      </c>
      <c r="BN45" s="52" t="e">
        <f>TALLERES!BN18/TALLERES!BN24</f>
        <v>#DIV/0!</v>
      </c>
      <c r="BO45" s="52">
        <f>TALLERES!BO18/TALLERES!BO24</f>
        <v>0.21083767878634518</v>
      </c>
      <c r="BP45" s="52" t="e">
        <f>TALLERES!BP18/TALLERES!BP24</f>
        <v>#DIV/0!</v>
      </c>
      <c r="BQ45" s="52">
        <f>TALLERES!BQ18/TALLERES!BQ24</f>
        <v>0.6527830448102178</v>
      </c>
      <c r="BR45" s="52">
        <f>TALLERES!BR18/TALLERES!BR24</f>
        <v>0.38847123032991343</v>
      </c>
      <c r="BS45" s="52">
        <f>TALLERES!BS18/TALLERES!BS24</f>
        <v>0.8793253713526454</v>
      </c>
      <c r="BT45" s="52">
        <f>TALLERES!BT18/TALLERES!BT24</f>
        <v>0.5134701620045888</v>
      </c>
      <c r="BU45" s="52">
        <f>TALLERES!BU18/TALLERES!BU24</f>
        <v>0.5662869439597229</v>
      </c>
      <c r="BV45" s="52" t="e">
        <f>TALLERES!BV18/TALLERES!BV24</f>
        <v>#DIV/0!</v>
      </c>
      <c r="BW45" s="52">
        <f>TALLERES!BW18/TALLERES!BW24</f>
        <v>0.586366839738576</v>
      </c>
      <c r="BX45" s="52" t="e">
        <f>TALLERES!BX18/TALLERES!BX24</f>
        <v>#DIV/0!</v>
      </c>
      <c r="BY45" s="52">
        <f>TALLERES!BY18/TALLERES!BY24</f>
        <v>0.16337094478179975</v>
      </c>
      <c r="BZ45" s="52">
        <f>TALLERES!BZ18/TALLERES!BZ24</f>
        <v>0.6112979751904266</v>
      </c>
      <c r="CA45" s="52">
        <f>TALLERES!CA18/TALLERES!CA24</f>
        <v>0.7968720237139132</v>
      </c>
      <c r="CB45" s="52">
        <f>TALLERES!CB18/TALLERES!CB24</f>
        <v>0.05239499207538636</v>
      </c>
      <c r="CC45" s="52">
        <f>TALLERES!CC18/TALLERES!CC24</f>
        <v>0.05336597376503021</v>
      </c>
      <c r="CD45" s="52" t="e">
        <f>TALLERES!CD18/TALLERES!CD24</f>
        <v>#DIV/0!</v>
      </c>
      <c r="CE45" s="52">
        <f>TALLERES!CE18/TALLERES!CE24</f>
        <v>0.7104302398289529</v>
      </c>
      <c r="CF45" s="52" t="e">
        <f>TALLERES!CF18/TALLERES!CF24</f>
        <v>#DIV/0!</v>
      </c>
      <c r="CG45" s="52">
        <f>TALLERES!CG18/TALLERES!CG24</f>
        <v>0.16808065104846695</v>
      </c>
      <c r="CH45" s="52" t="e">
        <f>TALLERES!CH18/TALLERES!CH24</f>
        <v>#DIV/0!</v>
      </c>
      <c r="CI45" s="52">
        <f>TALLERES!CI18/TALLERES!CI24</f>
        <v>0.24099863518358777</v>
      </c>
      <c r="CJ45" s="52" t="e">
        <f>TALLERES!CJ18/TALLERES!CJ24</f>
        <v>#DIV/0!</v>
      </c>
      <c r="CK45" s="52">
        <f>TALLERES!CK18/TALLERES!CK24</f>
        <v>0.03872831996276496</v>
      </c>
      <c r="CL45" s="52">
        <f>TALLERES!CL18/TALLERES!CL24</f>
        <v>0.29316799374349567</v>
      </c>
      <c r="CM45" s="52">
        <f>TALLERES!CM18/TALLERES!CM24</f>
        <v>0.3181521849979991</v>
      </c>
      <c r="CN45" s="52" t="e">
        <f>TALLERES!CN18/TALLERES!CN24</f>
        <v>#DIV/0!</v>
      </c>
      <c r="CO45" s="52">
        <f>TALLERES!CO18/TALLERES!CO24</f>
        <v>0.28440659305132715</v>
      </c>
      <c r="CP45" s="52" t="e">
        <f>TALLERES!CP18/TALLERES!CP24</f>
        <v>#DIV/0!</v>
      </c>
      <c r="CQ45" s="52">
        <f>TALLERES!CQ18/TALLERES!CQ24</f>
        <v>0.46059756693413567</v>
      </c>
      <c r="CR45" s="52">
        <f>TALLERES!CR18/TALLERES!CR24</f>
        <v>0.49272398985014987</v>
      </c>
      <c r="CS45" s="52">
        <f>TALLERES!CS18/TALLERES!CS24</f>
        <v>0.10388598589096448</v>
      </c>
      <c r="CT45" s="52">
        <f>TALLERES!CT18/TALLERES!CT24</f>
        <v>0.11380257968558628</v>
      </c>
      <c r="CU45" s="52">
        <f>TALLERES!CU18/TALLERES!CU24</f>
        <v>0.06511485801403463</v>
      </c>
      <c r="CV45" s="52" t="e">
        <f>TALLERES!CV18/TALLERES!CV24</f>
        <v>#DIV/0!</v>
      </c>
      <c r="CW45" s="52">
        <f>TALLERES!CW18/TALLERES!CW24</f>
        <v>0.03850664995532822</v>
      </c>
      <c r="CX45" s="52" t="e">
        <f>TALLERES!CX18/TALLERES!CX24</f>
        <v>#DIV/0!</v>
      </c>
      <c r="CY45" s="52">
        <f>TALLERES!CY18/TALLERES!CY24</f>
        <v>0.9489287786291547</v>
      </c>
      <c r="CZ45" s="52">
        <f>TALLERES!CZ18/TALLERES!CZ24</f>
        <v>0.6069809222284075</v>
      </c>
      <c r="DA45" s="52">
        <f>TALLERES!DA18/TALLERES!DA24</f>
        <v>0.36483301456468803</v>
      </c>
      <c r="DB45" s="52">
        <f>TALLERES!DB18/TALLERES!DB24</f>
        <v>0.1111733706090169</v>
      </c>
      <c r="DC45" s="52">
        <f>TALLERES!DC18/TALLERES!DC24</f>
        <v>0.29731818383118214</v>
      </c>
      <c r="DD45" s="52" t="e">
        <f>TALLERES!DD18/TALLERES!DD24</f>
        <v>#DIV/0!</v>
      </c>
      <c r="DE45" s="52">
        <f>TALLERES!DE18/TALLERES!DE24</f>
        <v>0.4535013909772909</v>
      </c>
      <c r="DF45" s="52" t="e">
        <f>TALLERES!DF18/TALLERES!DF24</f>
        <v>#DIV/0!</v>
      </c>
      <c r="DG45" s="52">
        <f>TALLERES!DG18/TALLERES!DG24</f>
        <v>0.14285711671519194</v>
      </c>
      <c r="DH45" s="52" t="e">
        <f>TALLERES!DH18/TALLERES!DH24</f>
        <v>#DIV/0!</v>
      </c>
      <c r="DI45" s="52">
        <f>TALLERES!DI18/TALLERES!DI24</f>
        <v>0.19360712118146875</v>
      </c>
      <c r="DJ45" s="52" t="e">
        <f>TALLERES!DJ18/TALLERES!DJ24</f>
        <v>#DIV/0!</v>
      </c>
      <c r="DK45" s="52">
        <f>TALLERES!DK18/TALLERES!DK24</f>
        <v>0.027673370180941136</v>
      </c>
    </row>
    <row r="46" spans="1:115" s="1" customFormat="1" ht="12.75">
      <c r="A46" s="58" t="s">
        <v>56</v>
      </c>
      <c r="B46" s="52">
        <f>TALLERES!B16/TALLERES!B24</f>
        <v>0.2547168515554944</v>
      </c>
      <c r="C46" s="52">
        <f>TALLERES!C16/TALLERES!C24</f>
        <v>0.20492706210417122</v>
      </c>
      <c r="D46" s="52">
        <f>TALLERES!D16/TALLERES!D24</f>
        <v>0.9412759656562791</v>
      </c>
      <c r="E46" s="52">
        <f>TALLERES!E16/TALLERES!E24</f>
        <v>0.7728277285962012</v>
      </c>
      <c r="F46" s="52">
        <f>TALLERES!F16/TALLERES!F24</f>
        <v>0</v>
      </c>
      <c r="G46" s="52">
        <f>TALLERES!G16/TALLERES!G24</f>
        <v>0</v>
      </c>
      <c r="H46" s="52">
        <f>TALLERES!H16/TALLERES!H24</f>
        <v>0</v>
      </c>
      <c r="I46" s="52">
        <f>TALLERES!I16/TALLERES!I24</f>
        <v>0</v>
      </c>
      <c r="J46" s="52">
        <f>TALLERES!J16/TALLERES!J24</f>
        <v>0.2716522109428304</v>
      </c>
      <c r="K46" s="52">
        <f>TALLERES!K16/TALLERES!K24</f>
        <v>0.40073562299395615</v>
      </c>
      <c r="L46" s="52">
        <f>TALLERES!L16/TALLERES!L24</f>
        <v>0.9053616964219418</v>
      </c>
      <c r="M46" s="52">
        <f>TALLERES!M16/TALLERES!M24</f>
        <v>0.5707413180023723</v>
      </c>
      <c r="N46" s="52">
        <f>TALLERES!N16/TALLERES!N24</f>
        <v>0</v>
      </c>
      <c r="O46" s="52">
        <f>TALLERES!O16/TALLERES!O24</f>
        <v>0.12271674093832485</v>
      </c>
      <c r="P46" s="52">
        <f>TALLERES!P16/TALLERES!P24</f>
        <v>0</v>
      </c>
      <c r="Q46" s="52">
        <f>TALLERES!Q16/TALLERES!Q24</f>
        <v>0</v>
      </c>
      <c r="R46" s="52">
        <f>TALLERES!R16/TALLERES!R24</f>
        <v>0.04936466846871461</v>
      </c>
      <c r="S46" s="52">
        <f>TALLERES!S16/TALLERES!S24</f>
        <v>0</v>
      </c>
      <c r="T46" s="52">
        <f>TALLERES!T16/TALLERES!T24</f>
        <v>0</v>
      </c>
      <c r="U46" s="52">
        <f>TALLERES!U16/TALLERES!U24</f>
        <v>0</v>
      </c>
      <c r="V46" s="52">
        <f>TALLERES!V16/TALLERES!V24</f>
        <v>0.0001668084708931623</v>
      </c>
      <c r="W46" s="52">
        <f>TALLERES!W16/TALLERES!W24</f>
        <v>0.06766164117255816</v>
      </c>
      <c r="X46" s="52">
        <f>TALLERES!X16/TALLERES!X24</f>
        <v>0</v>
      </c>
      <c r="Y46" s="52">
        <f>TALLERES!Y16/TALLERES!Y24</f>
        <v>0</v>
      </c>
      <c r="Z46" s="52">
        <f>TALLERES!Z16/TALLERES!Z24</f>
        <v>0</v>
      </c>
      <c r="AA46" s="52">
        <f>TALLERES!AA16/TALLERES!AA24</f>
        <v>0</v>
      </c>
      <c r="AB46" s="52">
        <f>TALLERES!AB16/TALLERES!AB24</f>
        <v>0.022978300189341945</v>
      </c>
      <c r="AC46" s="52">
        <f>TALLERES!AC16/TALLERES!AC24</f>
        <v>0.044475509040410546</v>
      </c>
      <c r="AD46" s="52">
        <f>TALLERES!AD16/TALLERES!AD24</f>
        <v>0</v>
      </c>
      <c r="AE46" s="52">
        <f>TALLERES!AE16/TALLERES!AE24</f>
        <v>0</v>
      </c>
      <c r="AF46" s="52">
        <f>TALLERES!AF16/TALLERES!AF24</f>
        <v>0.5030044601356679</v>
      </c>
      <c r="AG46" s="52">
        <f>TALLERES!AG16/TALLERES!AG24</f>
        <v>0.32311499307255975</v>
      </c>
      <c r="AH46" s="52">
        <f>TALLERES!AH16/TALLERES!AH24</f>
        <v>0.67804404084458</v>
      </c>
      <c r="AI46" s="52">
        <f>TALLERES!AI16/TALLERES!AI24</f>
        <v>1.1753813295307958</v>
      </c>
      <c r="AJ46" s="52">
        <f>TALLERES!AJ16/TALLERES!AJ24</f>
        <v>0</v>
      </c>
      <c r="AK46" s="52" t="e">
        <f>TALLERES!AK16/TALLERES!AK24</f>
        <v>#DIV/0!</v>
      </c>
      <c r="AL46" s="52">
        <f>TALLERES!AL16/TALLERES!AL24</f>
        <v>0</v>
      </c>
      <c r="AM46" s="52">
        <f>TALLERES!AM16/TALLERES!AM24</f>
        <v>0</v>
      </c>
      <c r="AN46" s="52">
        <f>TALLERES!AN16/TALLERES!AN24</f>
        <v>0</v>
      </c>
      <c r="AO46" s="52">
        <f>TALLERES!AO16/TALLERES!AO24</f>
        <v>0</v>
      </c>
      <c r="AP46" s="52">
        <f>TALLERES!AP16/TALLERES!AP24</f>
        <v>0.005206643246580893</v>
      </c>
      <c r="AQ46" s="52">
        <f>TALLERES!AQ16/TALLERES!AQ24</f>
        <v>0.005310187098674187</v>
      </c>
      <c r="AR46" s="52">
        <f>TALLERES!AR16/TALLERES!AR24</f>
        <v>0</v>
      </c>
      <c r="AS46" s="52">
        <f>TALLERES!AS16/TALLERES!AS24</f>
        <v>0</v>
      </c>
      <c r="AT46" s="52">
        <f>TALLERES!AT16/TALLERES!AT24</f>
        <v>0</v>
      </c>
      <c r="AU46" s="52">
        <f>TALLERES!AU16/TALLERES!AU24</f>
        <v>0</v>
      </c>
      <c r="AV46" s="52">
        <f>TALLERES!AV16/TALLERES!AV24</f>
        <v>0</v>
      </c>
      <c r="AW46" s="52" t="e">
        <f>TALLERES!AW16/TALLERES!AW24</f>
        <v>#DIV/0!</v>
      </c>
      <c r="AX46" s="52">
        <f>TALLERES!AX16/TALLERES!AX24</f>
        <v>0</v>
      </c>
      <c r="AY46" s="52">
        <f>TALLERES!AY16/TALLERES!AY24</f>
        <v>0</v>
      </c>
      <c r="AZ46" s="52">
        <f>TALLERES!AZ16/TALLERES!AZ24</f>
        <v>0</v>
      </c>
      <c r="BA46" s="52">
        <f>TALLERES!BA16/TALLERES!BA24</f>
        <v>-0.09814846418654753</v>
      </c>
      <c r="BB46" s="52">
        <f>TALLERES!BB16/TALLERES!BB24</f>
        <v>1.7921452678829315</v>
      </c>
      <c r="BC46" s="52">
        <f>TALLERES!BC16/TALLERES!BC24</f>
        <v>1.4797257184530475</v>
      </c>
      <c r="BD46" s="52" t="e">
        <f>TALLERES!BD16/TALLERES!BD24</f>
        <v>#DIV/0!</v>
      </c>
      <c r="BE46" s="52">
        <f>TALLERES!BE16/TALLERES!BE24</f>
        <v>0.4299087925639385</v>
      </c>
      <c r="BF46" s="52" t="e">
        <f>TALLERES!BF16/TALLERES!BF24</f>
        <v>#DIV/0!</v>
      </c>
      <c r="BG46" s="52">
        <f>TALLERES!BG16/TALLERES!BG24</f>
        <v>0</v>
      </c>
      <c r="BH46" s="52" t="e">
        <f>TALLERES!BH16/TALLERES!BH24</f>
        <v>#DIV/0!</v>
      </c>
      <c r="BI46" s="52">
        <f>TALLERES!BI16/TALLERES!BI24</f>
        <v>0.21332506086412087</v>
      </c>
      <c r="BJ46" s="52">
        <f>TALLERES!BJ16/TALLERES!BJ24</f>
        <v>0.1576189113392663</v>
      </c>
      <c r="BK46" s="52">
        <f>TALLERES!BK16/TALLERES!BK24</f>
        <v>0.09907406825825972</v>
      </c>
      <c r="BL46" s="52">
        <f>TALLERES!BL16/TALLERES!BL24</f>
        <v>0.4396564605204434</v>
      </c>
      <c r="BM46" s="52">
        <f>TALLERES!BM16/TALLERES!BM24</f>
        <v>0.3984390120681862</v>
      </c>
      <c r="BN46" s="52" t="e">
        <f>TALLERES!BN16/TALLERES!BN24</f>
        <v>#DIV/0!</v>
      </c>
      <c r="BO46" s="52">
        <f>TALLERES!BO16/TALLERES!BO24</f>
        <v>0</v>
      </c>
      <c r="BP46" s="52" t="e">
        <f>TALLERES!BP16/TALLERES!BP24</f>
        <v>#DIV/0!</v>
      </c>
      <c r="BQ46" s="52">
        <f>TALLERES!BQ16/TALLERES!BQ24</f>
        <v>0.11185297772581276</v>
      </c>
      <c r="BR46" s="52">
        <f>TALLERES!BR16/TALLERES!BR24</f>
        <v>0.03204771785916817</v>
      </c>
      <c r="BS46" s="52">
        <f>TALLERES!BS16/TALLERES!BS24</f>
        <v>0.5069993399730401</v>
      </c>
      <c r="BT46" s="52">
        <f>TALLERES!BT16/TALLERES!BT24</f>
        <v>0</v>
      </c>
      <c r="BU46" s="52">
        <f>TALLERES!BU16/TALLERES!BU24</f>
        <v>0</v>
      </c>
      <c r="BV46" s="52" t="e">
        <f>TALLERES!BV16/TALLERES!BV24</f>
        <v>#DIV/0!</v>
      </c>
      <c r="BW46" s="52">
        <f>TALLERES!BW16/TALLERES!BW24</f>
        <v>0</v>
      </c>
      <c r="BX46" s="52" t="e">
        <f>TALLERES!BX16/TALLERES!BX24</f>
        <v>#DIV/0!</v>
      </c>
      <c r="BY46" s="52">
        <f>TALLERES!BY16/TALLERES!BY24</f>
        <v>0</v>
      </c>
      <c r="BZ46" s="52">
        <f>TALLERES!BZ16/TALLERES!BZ24</f>
        <v>0</v>
      </c>
      <c r="CA46" s="52">
        <f>TALLERES!CA16/TALLERES!CA24</f>
        <v>0</v>
      </c>
      <c r="CB46" s="52">
        <f>TALLERES!CB16/TALLERES!CB24</f>
        <v>0</v>
      </c>
      <c r="CC46" s="52">
        <f>TALLERES!CC16/TALLERES!CC24</f>
        <v>0</v>
      </c>
      <c r="CD46" s="52" t="e">
        <f>TALLERES!CD16/TALLERES!CD24</f>
        <v>#DIV/0!</v>
      </c>
      <c r="CE46" s="52">
        <f>TALLERES!CE16/TALLERES!CE24</f>
        <v>0.5767795550356012</v>
      </c>
      <c r="CF46" s="52" t="e">
        <f>TALLERES!CF16/TALLERES!CF24</f>
        <v>#DIV/0!</v>
      </c>
      <c r="CG46" s="52">
        <f>TALLERES!CG16/TALLERES!CG24</f>
        <v>0</v>
      </c>
      <c r="CH46" s="52" t="e">
        <f>TALLERES!CH16/TALLERES!CH24</f>
        <v>#DIV/0!</v>
      </c>
      <c r="CI46" s="52">
        <f>TALLERES!CI16/TALLERES!CI24</f>
        <v>0</v>
      </c>
      <c r="CJ46" s="52" t="e">
        <f>TALLERES!CJ16/TALLERES!CJ24</f>
        <v>#DIV/0!</v>
      </c>
      <c r="CK46" s="52">
        <f>TALLERES!CK16/TALLERES!CK24</f>
        <v>0</v>
      </c>
      <c r="CL46" s="52">
        <f>TALLERES!CL16/TALLERES!CL24</f>
        <v>0</v>
      </c>
      <c r="CM46" s="52">
        <f>TALLERES!CM16/TALLERES!CM24</f>
        <v>0</v>
      </c>
      <c r="CN46" s="52" t="e">
        <f>TALLERES!CN16/TALLERES!CN24</f>
        <v>#DIV/0!</v>
      </c>
      <c r="CO46" s="52">
        <f>TALLERES!CO16/TALLERES!CO24</f>
        <v>0</v>
      </c>
      <c r="CP46" s="52" t="e">
        <f>TALLERES!CP16/TALLERES!CP24</f>
        <v>#DIV/0!</v>
      </c>
      <c r="CQ46" s="52">
        <f>TALLERES!CQ16/TALLERES!CQ24</f>
        <v>0</v>
      </c>
      <c r="CR46" s="52">
        <f>TALLERES!CR16/TALLERES!CR24</f>
        <v>0</v>
      </c>
      <c r="CS46" s="52">
        <f>TALLERES!CS16/TALLERES!CS24</f>
        <v>0</v>
      </c>
      <c r="CT46" s="52">
        <f>TALLERES!CT16/TALLERES!CT24</f>
        <v>0</v>
      </c>
      <c r="CU46" s="52">
        <f>TALLERES!CU16/TALLERES!CU24</f>
        <v>0</v>
      </c>
      <c r="CV46" s="52" t="e">
        <f>TALLERES!CV16/TALLERES!CV24</f>
        <v>#DIV/0!</v>
      </c>
      <c r="CW46" s="52">
        <f>TALLERES!CW16/TALLERES!CW24</f>
        <v>0</v>
      </c>
      <c r="CX46" s="52" t="e">
        <f>TALLERES!CX16/TALLERES!CX24</f>
        <v>#DIV/0!</v>
      </c>
      <c r="CY46" s="52">
        <f>TALLERES!CY16/TALLERES!CY24</f>
        <v>0.1436826076485183</v>
      </c>
      <c r="CZ46" s="52">
        <f>TALLERES!CZ16/TALLERES!CZ24</f>
        <v>0</v>
      </c>
      <c r="DA46" s="52">
        <f>TALLERES!DA16/TALLERES!DA24</f>
        <v>0</v>
      </c>
      <c r="DB46" s="52">
        <f>TALLERES!DB16/TALLERES!DB24</f>
        <v>0</v>
      </c>
      <c r="DC46" s="52">
        <f>TALLERES!DC16/TALLERES!DC24</f>
        <v>0</v>
      </c>
      <c r="DD46" s="52" t="e">
        <f>TALLERES!DD16/TALLERES!DD24</f>
        <v>#DIV/0!</v>
      </c>
      <c r="DE46" s="52">
        <f>TALLERES!DE16/TALLERES!DE24</f>
        <v>0</v>
      </c>
      <c r="DF46" s="52" t="e">
        <f>TALLERES!DF16/TALLERES!DF24</f>
        <v>#DIV/0!</v>
      </c>
      <c r="DG46" s="52">
        <f>TALLERES!DG16/TALLERES!DG24</f>
        <v>0</v>
      </c>
      <c r="DH46" s="52" t="e">
        <f>TALLERES!DH16/TALLERES!DH24</f>
        <v>#DIV/0!</v>
      </c>
      <c r="DI46" s="52">
        <f>TALLERES!DI16/TALLERES!DI24</f>
        <v>0</v>
      </c>
      <c r="DJ46" s="52" t="e">
        <f>TALLERES!DJ16/TALLERES!DJ24</f>
        <v>#DIV/0!</v>
      </c>
      <c r="DK46" s="52">
        <f>TALLERES!DK16/TALLERES!DK24</f>
        <v>0</v>
      </c>
    </row>
    <row r="47" spans="1:115" s="1" customFormat="1" ht="12.75">
      <c r="A47" s="57" t="s">
        <v>57</v>
      </c>
      <c r="B47" s="52">
        <f>TALLERES!B18/TALLERES!B13</f>
        <v>0.5771170701757423</v>
      </c>
      <c r="C47" s="52">
        <f>TALLERES!C18/TALLERES!C13</f>
        <v>0.5437979105899944</v>
      </c>
      <c r="D47" s="52">
        <f>TALLERES!D18/TALLERES!D13</f>
        <v>0.5584956317292102</v>
      </c>
      <c r="E47" s="52">
        <f>TALLERES!E18/TALLERES!E13</f>
        <v>0.5716061052762538</v>
      </c>
      <c r="F47" s="52">
        <f>TALLERES!F18/TALLERES!F13</f>
        <v>0.17204854617690019</v>
      </c>
      <c r="G47" s="52">
        <f>TALLERES!G18/TALLERES!G13</f>
        <v>0.09435556792417409</v>
      </c>
      <c r="H47" s="52">
        <f>TALLERES!H18/TALLERES!H13</f>
        <v>0.4291913419680444</v>
      </c>
      <c r="I47" s="52">
        <f>TALLERES!I18/TALLERES!I13</f>
        <v>0.4488230236032744</v>
      </c>
      <c r="J47" s="52">
        <f>TALLERES!J18/TALLERES!J13</f>
        <v>0.5829535856768562</v>
      </c>
      <c r="K47" s="52">
        <f>TALLERES!K18/TALLERES!K13</f>
        <v>0.6044001579279438</v>
      </c>
      <c r="L47" s="52">
        <f>TALLERES!L18/TALLERES!L13</f>
        <v>0.5634518686996797</v>
      </c>
      <c r="M47" s="52">
        <f>TALLERES!M18/TALLERES!M13</f>
        <v>0.5543825416432687</v>
      </c>
      <c r="N47" s="52">
        <f>TALLERES!N18/TALLERES!N13</f>
        <v>0.19937882518807606</v>
      </c>
      <c r="O47" s="52">
        <f>TALLERES!O18/TALLERES!O13</f>
        <v>0.10930338567478985</v>
      </c>
      <c r="P47" s="52">
        <f>TALLERES!P18/TALLERES!P13</f>
        <v>0.22130983633959633</v>
      </c>
      <c r="Q47" s="52">
        <f>TALLERES!Q18/TALLERES!Q13</f>
        <v>0.22485287489389538</v>
      </c>
      <c r="R47" s="52">
        <f>TALLERES!R18/TALLERES!R13</f>
        <v>0.31299397956522323</v>
      </c>
      <c r="S47" s="52">
        <f>TALLERES!S18/TALLERES!S13</f>
        <v>0.12896148506947597</v>
      </c>
      <c r="T47" s="52">
        <f>TALLERES!T18/TALLERES!T13</f>
        <v>0.00018361060418486553</v>
      </c>
      <c r="U47" s="52">
        <f>TALLERES!U18/TALLERES!U13</f>
        <v>0.00010551207771342001</v>
      </c>
      <c r="V47" s="52">
        <f>TALLERES!V18/TALLERES!V13</f>
        <v>0.5272563901479559</v>
      </c>
      <c r="W47" s="52">
        <f>TALLERES!W18/TALLERES!W13</f>
        <v>0.6453474268599567</v>
      </c>
      <c r="X47" s="52">
        <f>TALLERES!X18/TALLERES!X13</f>
        <v>0.1549080967777252</v>
      </c>
      <c r="Y47" s="52">
        <f>TALLERES!Y18/TALLERES!Y13</f>
        <v>0.15864898973980618</v>
      </c>
      <c r="Z47" s="52">
        <f>TALLERES!Z18/TALLERES!Z13</f>
        <v>0.24656040038580032</v>
      </c>
      <c r="AA47" s="52">
        <f>TALLERES!AA18/TALLERES!AA13</f>
        <v>0.20666821008893815</v>
      </c>
      <c r="AB47" s="52">
        <f>TALLERES!AB18/TALLERES!AB13</f>
        <v>0.12302732358462208</v>
      </c>
      <c r="AC47" s="52">
        <f>TALLERES!AC18/TALLERES!AC13</f>
        <v>0.12310724585319906</v>
      </c>
      <c r="AD47" s="52">
        <f>TALLERES!AD18/TALLERES!AD13</f>
        <v>0.11380115387041029</v>
      </c>
      <c r="AE47" s="52">
        <f>TALLERES!AE18/TALLERES!AE13</f>
        <v>0.1079408882798739</v>
      </c>
      <c r="AF47" s="52">
        <f>TALLERES!AF18/TALLERES!AF13</f>
        <v>0.41826058379524156</v>
      </c>
      <c r="AG47" s="52">
        <f>TALLERES!AG18/TALLERES!AG13</f>
        <v>0.31803796203237505</v>
      </c>
      <c r="AH47" s="52">
        <f>TALLERES!AH18/TALLERES!AH13</f>
        <v>0.6636526664389658</v>
      </c>
      <c r="AI47" s="52">
        <f>TALLERES!AI18/TALLERES!AI13</f>
        <v>0.8020768263650341</v>
      </c>
      <c r="AJ47" s="52">
        <f>TALLERES!AJ18/TALLERES!AJ13</f>
        <v>0.5215935965192324</v>
      </c>
      <c r="AK47" s="52" t="e">
        <f>TALLERES!AK18/TALLERES!AK13</f>
        <v>#DIV/0!</v>
      </c>
      <c r="AL47" s="52">
        <f>TALLERES!AL18/TALLERES!AL13</f>
        <v>0.5037674275140787</v>
      </c>
      <c r="AM47" s="52">
        <f>TALLERES!AM18/TALLERES!AM13</f>
        <v>0.637601022322385</v>
      </c>
      <c r="AN47" s="52">
        <f>TALLERES!AN18/TALLERES!AN13</f>
        <v>0.14160162937051146</v>
      </c>
      <c r="AO47" s="52">
        <f>TALLERES!AO18/TALLERES!AO13</f>
        <v>0.08018517600924929</v>
      </c>
      <c r="AP47" s="52">
        <f>TALLERES!AP18/TALLERES!AP13</f>
        <v>0.0046331507282806475</v>
      </c>
      <c r="AQ47" s="52">
        <f>TALLERES!AQ18/TALLERES!AQ13</f>
        <v>0.009033651511496155</v>
      </c>
      <c r="AR47" s="52">
        <f>TALLERES!AR18/TALLERES!AR13</f>
        <v>0.36565208931377835</v>
      </c>
      <c r="AS47" s="52">
        <f>TALLERES!AS18/TALLERES!AS13</f>
        <v>0.43774171285444136</v>
      </c>
      <c r="AT47" s="52">
        <f>TALLERES!AT18/TALLERES!AT13</f>
        <v>0.03393475030952129</v>
      </c>
      <c r="AU47" s="52">
        <f>TALLERES!AU18/TALLERES!AU13</f>
        <v>0.3040093510779715</v>
      </c>
      <c r="AV47" s="52">
        <f>TALLERES!AV18/TALLERES!AV13</f>
        <v>0.356749452406545</v>
      </c>
      <c r="AW47" s="52" t="e">
        <f>TALLERES!AW18/TALLERES!AW13</f>
        <v>#DIV/0!</v>
      </c>
      <c r="AX47" s="52">
        <f>TALLERES!AX18/TALLERES!AX13</f>
        <v>0.03402898030959103</v>
      </c>
      <c r="AY47" s="52">
        <f>TALLERES!AY18/TALLERES!AY13</f>
        <v>0.1344171313011203</v>
      </c>
      <c r="AZ47" s="52">
        <f>TALLERES!AZ18/TALLERES!AZ13</f>
        <v>0.7187065730604192</v>
      </c>
      <c r="BA47" s="52">
        <f>TALLERES!BA18/TALLERES!BA13</f>
        <v>1.4288342381202694</v>
      </c>
      <c r="BB47" s="52">
        <f>TALLERES!BB18/TALLERES!BB13</f>
        <v>0.6523122631344371</v>
      </c>
      <c r="BC47" s="52">
        <f>TALLERES!BC18/TALLERES!BC13</f>
        <v>0.6252704259390235</v>
      </c>
      <c r="BD47" s="52" t="e">
        <f>TALLERES!BD18/TALLERES!BD13</f>
        <v>#DIV/0!</v>
      </c>
      <c r="BE47" s="52">
        <f>TALLERES!BE18/TALLERES!BE13</f>
        <v>0.4976388081120234</v>
      </c>
      <c r="BF47" s="52" t="e">
        <f>TALLERES!BF18/TALLERES!BF13</f>
        <v>#DIV/0!</v>
      </c>
      <c r="BG47" s="52">
        <f>TALLERES!BG18/TALLERES!BG13</f>
        <v>0.32167319155410756</v>
      </c>
      <c r="BH47" s="52" t="e">
        <f>TALLERES!BH18/TALLERES!BH13</f>
        <v>#DIV/0!</v>
      </c>
      <c r="BI47" s="52">
        <f>TALLERES!BI18/TALLERES!BI13</f>
        <v>0.4852226980469599</v>
      </c>
      <c r="BJ47" s="52">
        <f>TALLERES!BJ18/TALLERES!BJ13</f>
        <v>0.7563329294911232</v>
      </c>
      <c r="BK47" s="52">
        <f>TALLERES!BK18/TALLERES!BK13</f>
        <v>0.7213938925688781</v>
      </c>
      <c r="BL47" s="52">
        <f>TALLERES!BL18/TALLERES!BL13</f>
        <v>0.3444684555184417</v>
      </c>
      <c r="BM47" s="52">
        <f>TALLERES!BM18/TALLERES!BM13</f>
        <v>0.31513563675496964</v>
      </c>
      <c r="BN47" s="52" t="e">
        <f>TALLERES!BN18/TALLERES!BN13</f>
        <v>#DIV/0!</v>
      </c>
      <c r="BO47" s="52">
        <f>TALLERES!BO18/TALLERES!BO13</f>
        <v>0.17412546889499855</v>
      </c>
      <c r="BP47" s="52" t="e">
        <f>TALLERES!BP18/TALLERES!BP13</f>
        <v>#DIV/0!</v>
      </c>
      <c r="BQ47" s="52">
        <f>TALLERES!BQ18/TALLERES!BQ13</f>
        <v>0.39495991132046865</v>
      </c>
      <c r="BR47" s="52">
        <f>TALLERES!BR18/TALLERES!BR13</f>
        <v>0.2797834206745567</v>
      </c>
      <c r="BS47" s="52">
        <f>TALLERES!BS18/TALLERES!BS13</f>
        <v>0.4678941628504438</v>
      </c>
      <c r="BT47" s="52">
        <f>TALLERES!BT18/TALLERES!BT13</f>
        <v>0.3392667889299505</v>
      </c>
      <c r="BU47" s="52">
        <f>TALLERES!BU18/TALLERES!BU13</f>
        <v>0.3615473819427336</v>
      </c>
      <c r="BV47" s="52" t="e">
        <f>TALLERES!BV18/TALLERES!BV13</f>
        <v>#DIV/0!</v>
      </c>
      <c r="BW47" s="52">
        <f>TALLERES!BW18/TALLERES!BW13</f>
        <v>0.3696287800841864</v>
      </c>
      <c r="BX47" s="52" t="e">
        <f>TALLERES!BX18/TALLERES!BX13</f>
        <v>#DIV/0!</v>
      </c>
      <c r="BY47" s="52">
        <f>TALLERES!BY18/TALLERES!BY13</f>
        <v>0.14042893671583087</v>
      </c>
      <c r="BZ47" s="52">
        <f>TALLERES!BZ18/TALLERES!BZ13</f>
        <v>0.37938232692074364</v>
      </c>
      <c r="CA47" s="52">
        <f>TALLERES!CA18/TALLERES!CA13</f>
        <v>0.44347733906328896</v>
      </c>
      <c r="CB47" s="52">
        <f>TALLERES!CB18/TALLERES!CB13</f>
        <v>0.04978643234709838</v>
      </c>
      <c r="CC47" s="52">
        <f>TALLERES!CC18/TALLERES!CC13</f>
        <v>0.05066232923234173</v>
      </c>
      <c r="CD47" s="52" t="e">
        <f>TALLERES!CD18/TALLERES!CD13</f>
        <v>#DIV/0!</v>
      </c>
      <c r="CE47" s="52">
        <f>TALLERES!CE18/TALLERES!CE13</f>
        <v>0.4153517771645558</v>
      </c>
      <c r="CF47" s="52" t="e">
        <f>TALLERES!CF18/TALLERES!CF13</f>
        <v>#DIV/0!</v>
      </c>
      <c r="CG47" s="52">
        <f>TALLERES!CG18/TALLERES!CG13</f>
        <v>0.1438947309824866</v>
      </c>
      <c r="CH47" s="52" t="e">
        <f>TALLERES!CH18/TALLERES!CH13</f>
        <v>#DIV/0!</v>
      </c>
      <c r="CI47" s="52">
        <f>TALLERES!CI18/TALLERES!CI13</f>
        <v>0.19419734103731348</v>
      </c>
      <c r="CJ47" s="52" t="e">
        <f>TALLERES!CJ18/TALLERES!CJ13</f>
        <v>#DIV/0!</v>
      </c>
      <c r="CK47" s="52">
        <f>TALLERES!CK18/TALLERES!CK13</f>
        <v>0.0372843593637201</v>
      </c>
      <c r="CL47" s="52">
        <f>TALLERES!CL18/TALLERES!CL13</f>
        <v>0.22670526579831715</v>
      </c>
      <c r="CM47" s="52">
        <f>TALLERES!CM18/TALLERES!CM13</f>
        <v>0.2413622559055896</v>
      </c>
      <c r="CN47" s="52" t="e">
        <f>TALLERES!CN18/TALLERES!CN13</f>
        <v>#DIV/0!</v>
      </c>
      <c r="CO47" s="52">
        <f>TALLERES!CO18/TALLERES!CO13</f>
        <v>0.22143034300763942</v>
      </c>
      <c r="CP47" s="52" t="e">
        <f>TALLERES!CP18/TALLERES!CP13</f>
        <v>#DIV/0!</v>
      </c>
      <c r="CQ47" s="52">
        <f>TALLERES!CQ18/TALLERES!CQ13</f>
        <v>0.3153488782898692</v>
      </c>
      <c r="CR47" s="52">
        <f>TALLERES!CR18/TALLERES!CR13</f>
        <v>0.3300837885640285</v>
      </c>
      <c r="CS47" s="52">
        <f>TALLERES!CS18/TALLERES!CS13</f>
        <v>0.09410934391663323</v>
      </c>
      <c r="CT47" s="52">
        <f>TALLERES!CT18/TALLERES!CT13</f>
        <v>0.10217482108901055</v>
      </c>
      <c r="CU47" s="52">
        <f>TALLERES!CU18/TALLERES!CU13</f>
        <v>0.06113411836364039</v>
      </c>
      <c r="CV47" s="52" t="e">
        <f>TALLERES!CV18/TALLERES!CV13</f>
        <v>#DIV/0!</v>
      </c>
      <c r="CW47" s="52">
        <f>TALLERES!CW18/TALLERES!CW13</f>
        <v>0.03707886700290711</v>
      </c>
      <c r="CX47" s="52" t="e">
        <f>TALLERES!CX18/TALLERES!CX13</f>
        <v>#DIV/0!</v>
      </c>
      <c r="CY47" s="52">
        <f>TALLERES!CY18/TALLERES!CY13</f>
        <v>0.48689761731396675</v>
      </c>
      <c r="CZ47" s="52">
        <f>TALLERES!CZ18/TALLERES!CZ13</f>
        <v>0.377715076658598</v>
      </c>
      <c r="DA47" s="52">
        <f>TALLERES!DA18/TALLERES!DA13</f>
        <v>0.2673096347109182</v>
      </c>
      <c r="DB47" s="52">
        <f>TALLERES!DB18/TALLERES!DB13</f>
        <v>0.10005042736767936</v>
      </c>
      <c r="DC47" s="52">
        <f>TALLERES!DC18/TALLERES!DC13</f>
        <v>0.2291790769116913</v>
      </c>
      <c r="DD47" s="52" t="e">
        <f>TALLERES!DD18/TALLERES!DD13</f>
        <v>#DIV/0!</v>
      </c>
      <c r="DE47" s="52">
        <f>TALLERES!DE18/TALLERES!DE13</f>
        <v>0.3120061623555586</v>
      </c>
      <c r="DF47" s="52" t="e">
        <f>TALLERES!DF18/TALLERES!DF13</f>
        <v>#DIV/0!</v>
      </c>
      <c r="DG47" s="52">
        <f>TALLERES!DG18/TALLERES!DG13</f>
        <v>0.12499997998506836</v>
      </c>
      <c r="DH47" s="52" t="e">
        <f>TALLERES!DH18/TALLERES!DH13</f>
        <v>#DIV/0!</v>
      </c>
      <c r="DI47" s="52">
        <f>TALLERES!DI18/TALLERES!DI13</f>
        <v>0.16220338983050847</v>
      </c>
      <c r="DJ47" s="52" t="e">
        <f>TALLERES!DJ18/TALLERES!DJ13</f>
        <v>#DIV/0!</v>
      </c>
      <c r="DK47" s="52">
        <f>TALLERES!DK18/TALLERES!DK13</f>
        <v>0.02692817677670165</v>
      </c>
    </row>
    <row r="48" spans="1:115" s="1" customFormat="1" ht="12.75">
      <c r="A48" s="55" t="s">
        <v>58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</row>
    <row r="49" spans="1:115" s="152" customFormat="1" ht="12.75">
      <c r="A49" s="57" t="s">
        <v>70</v>
      </c>
      <c r="B49" s="151">
        <f>TALLERES!B13/TALLERES!B18</f>
        <v>1.7327506873007281</v>
      </c>
      <c r="C49" s="151">
        <f>TALLERES!C13/TALLERES!C18</f>
        <v>1.8389184300378214</v>
      </c>
      <c r="D49" s="151">
        <f>TALLERES!D13/TALLERES!D18</f>
        <v>1.7905242999015176</v>
      </c>
      <c r="E49" s="151">
        <f>TALLERES!E13/TALLERES!E18</f>
        <v>1.7494564714572216</v>
      </c>
      <c r="F49" s="151">
        <f>TALLERES!F13/TALLERES!F18</f>
        <v>5.812312990845042</v>
      </c>
      <c r="G49" s="151">
        <f>TALLERES!G13/TALLERES!G18</f>
        <v>10.598208690806873</v>
      </c>
      <c r="H49" s="151">
        <f>TALLERES!H13/TALLERES!H18</f>
        <v>2.3299631241733096</v>
      </c>
      <c r="I49" s="151">
        <f>TALLERES!I13/TALLERES!I18</f>
        <v>2.2280496931100493</v>
      </c>
      <c r="J49" s="151">
        <f>TALLERES!J13/TALLERES!J18</f>
        <v>1.715402434378921</v>
      </c>
      <c r="K49" s="151">
        <f>TALLERES!K13/TALLERES!K18</f>
        <v>1.654532989250508</v>
      </c>
      <c r="L49" s="151">
        <f>TALLERES!L13/TALLERES!L18</f>
        <v>1.7747744848335942</v>
      </c>
      <c r="M49" s="151">
        <f>TALLERES!M13/TALLERES!M18</f>
        <v>1.803808606663294</v>
      </c>
      <c r="N49" s="151">
        <f>TALLERES!N13/TALLERES!N18</f>
        <v>5.01557775283654</v>
      </c>
      <c r="O49" s="151">
        <f>TALLERES!O13/TALLERES!O18</f>
        <v>9.148847438040923</v>
      </c>
      <c r="P49" s="151">
        <f>TALLERES!P13/TALLERES!P18</f>
        <v>4.51855198367919</v>
      </c>
      <c r="Q49" s="151">
        <f>TALLERES!Q13/TALLERES!Q18</f>
        <v>4.447352520940124</v>
      </c>
      <c r="R49" s="151">
        <f>TALLERES!R13/TALLERES!R18</f>
        <v>3.1949496325427407</v>
      </c>
      <c r="S49" s="151">
        <f>TALLERES!S13/TALLERES!S18</f>
        <v>7.754253135820092</v>
      </c>
      <c r="T49" s="151">
        <f>TALLERES!T13/TALLERES!T18</f>
        <v>5446.30853125</v>
      </c>
      <c r="U49" s="151">
        <f>TALLERES!U13/TALLERES!U18</f>
        <v>9477.587984913793</v>
      </c>
      <c r="V49" s="151">
        <f>TALLERES!V13/TALLERES!V18</f>
        <v>1.89661048910073</v>
      </c>
      <c r="W49" s="151">
        <f>TALLERES!W13/TALLERES!W18</f>
        <v>1.5495529359521323</v>
      </c>
      <c r="X49" s="151">
        <f>TALLERES!X13/TALLERES!X18</f>
        <v>6.455440488916997</v>
      </c>
      <c r="Y49" s="151">
        <f>TALLERES!Y13/TALLERES!Y18</f>
        <v>6.303223245480855</v>
      </c>
      <c r="Z49" s="151">
        <f>TALLERES!Z13/TALLERES!Z18</f>
        <v>4.055801330770353</v>
      </c>
      <c r="AA49" s="151">
        <f>TALLERES!AA13/TALLERES!AA18</f>
        <v>4.838673541371734</v>
      </c>
      <c r="AB49" s="151">
        <f>TALLERES!AB13/TALLERES!AB18</f>
        <v>8.12827566156203</v>
      </c>
      <c r="AC49" s="151">
        <f>TALLERES!AC13/TALLERES!AC18</f>
        <v>8.122998716033855</v>
      </c>
      <c r="AD49" s="151">
        <f>TALLERES!AD13/TALLERES!AD18</f>
        <v>8.787257123409645</v>
      </c>
      <c r="AE49" s="151">
        <f>TALLERES!AE13/TALLERES!AE18</f>
        <v>9.26432991182318</v>
      </c>
      <c r="AF49" s="151">
        <f>TALLERES!AF13/TALLERES!AF18</f>
        <v>2.3908540243647427</v>
      </c>
      <c r="AG49" s="151">
        <f>TALLERES!AG13/TALLERES!AG18</f>
        <v>3.1442787320408114</v>
      </c>
      <c r="AH49" s="151">
        <f>TALLERES!AH13/TALLERES!AH18</f>
        <v>1.5068122989180623</v>
      </c>
      <c r="AI49" s="151">
        <f>TALLERES!AI13/TALLERES!AI18</f>
        <v>1.2467633612255602</v>
      </c>
      <c r="AJ49" s="151">
        <f>TALLERES!AJ13/TALLERES!AJ18</f>
        <v>1.9172014508485775</v>
      </c>
      <c r="AK49" s="151" t="e">
        <f>TALLERES!AK13/TALLERES!AK18</f>
        <v>#DIV/0!</v>
      </c>
      <c r="AL49" s="151">
        <f>TALLERES!AL13/TALLERES!AL18</f>
        <v>1.9850429888543226</v>
      </c>
      <c r="AM49" s="151">
        <f>TALLERES!AM13/TALLERES!AM18</f>
        <v>1.5683789156385295</v>
      </c>
      <c r="AN49" s="151">
        <f>TALLERES!AN13/TALLERES!AN18</f>
        <v>7.0620656304979645</v>
      </c>
      <c r="AO49" s="151">
        <f>TALLERES!AO13/TALLERES!AO18</f>
        <v>12.471133066848301</v>
      </c>
      <c r="AP49" s="151">
        <f>TALLERES!AP13/TALLERES!AP18</f>
        <v>215.83584447102544</v>
      </c>
      <c r="AQ49" s="151">
        <f>TALLERES!AQ13/TALLERES!AQ18</f>
        <v>110.69720795930724</v>
      </c>
      <c r="AR49" s="151">
        <f>TALLERES!AR13/TALLERES!AR18</f>
        <v>2.7348401095607207</v>
      </c>
      <c r="AS49" s="151">
        <f>TALLERES!AS13/TALLERES!AS18</f>
        <v>2.284452156681997</v>
      </c>
      <c r="AT49" s="151">
        <f>TALLERES!AT13/TALLERES!AT18</f>
        <v>29.468317605962273</v>
      </c>
      <c r="AU49" s="151">
        <f>TALLERES!AU13/TALLERES!AU18</f>
        <v>3.28937250270148</v>
      </c>
      <c r="AV49" s="151">
        <f>TALLERES!AV13/TALLERES!AV18</f>
        <v>2.8030876943306944</v>
      </c>
      <c r="AW49" s="151" t="e">
        <f>TALLERES!AW13/TALLERES!AW18</f>
        <v>#DIV/0!</v>
      </c>
      <c r="AX49" s="151">
        <f>TALLERES!AX13/TALLERES!AX18</f>
        <v>29.386716583986246</v>
      </c>
      <c r="AY49" s="151">
        <f>TALLERES!AY13/TALLERES!AY18</f>
        <v>7.439527910767618</v>
      </c>
      <c r="AZ49" s="151">
        <f>TALLERES!AZ13/TALLERES!AZ18</f>
        <v>1.3913884156391783</v>
      </c>
      <c r="BA49" s="151">
        <f>TALLERES!BA13/TALLERES!BA18</f>
        <v>0.6998712470073291</v>
      </c>
      <c r="BB49" s="151">
        <f>TALLERES!BB13/TALLERES!BB18</f>
        <v>1.533008125885726</v>
      </c>
      <c r="BC49" s="151">
        <f>TALLERES!BC13/TALLERES!BC18</f>
        <v>1.599308009007802</v>
      </c>
      <c r="BD49" s="151" t="e">
        <f>TALLERES!BD13/TALLERES!BD18</f>
        <v>#DIV/0!</v>
      </c>
      <c r="BE49" s="151">
        <f>TALLERES!BE13/TALLERES!BE18</f>
        <v>2.009489580995239</v>
      </c>
      <c r="BF49" s="151" t="e">
        <f>TALLERES!BF13/TALLERES!BF18</f>
        <v>#DIV/0!</v>
      </c>
      <c r="BG49" s="151">
        <f>TALLERES!BG13/TALLERES!BG18</f>
        <v>3.108745230426805</v>
      </c>
      <c r="BH49" s="151" t="e">
        <f>TALLERES!BH13/TALLERES!BH18</f>
        <v>#DIV/0!</v>
      </c>
      <c r="BI49" s="151">
        <f>TALLERES!BI13/TALLERES!BI18</f>
        <v>2.0609093598156862</v>
      </c>
      <c r="BJ49" s="151">
        <f>TALLERES!BJ13/TALLERES!BJ18</f>
        <v>1.3221690620727318</v>
      </c>
      <c r="BK49" s="151">
        <f>TALLERES!BK13/TALLERES!BK18</f>
        <v>1.3862052483408305</v>
      </c>
      <c r="BL49" s="151">
        <f>TALLERES!BL13/TALLERES!BL18</f>
        <v>2.903023437937014</v>
      </c>
      <c r="BM49" s="151">
        <f>TALLERES!BM13/TALLERES!BM18</f>
        <v>3.1732368014523833</v>
      </c>
      <c r="BN49" s="151" t="e">
        <f>TALLERES!BN13/TALLERES!BN18</f>
        <v>#DIV/0!</v>
      </c>
      <c r="BO49" s="151">
        <f>TALLERES!BO13/TALLERES!BO18</f>
        <v>5.742985252795051</v>
      </c>
      <c r="BP49" s="151" t="e">
        <f>TALLERES!BP13/TALLERES!BP18</f>
        <v>#DIV/0!</v>
      </c>
      <c r="BQ49" s="151">
        <f>TALLERES!BQ13/TALLERES!BQ18</f>
        <v>2.531902533238632</v>
      </c>
      <c r="BR49" s="151">
        <f>TALLERES!BR13/TALLERES!BR18</f>
        <v>3.5741932012590456</v>
      </c>
      <c r="BS49" s="151">
        <f>TALLERES!BS13/TALLERES!BS18</f>
        <v>2.1372354677560637</v>
      </c>
      <c r="BT49" s="151">
        <f>TALLERES!BT13/TALLERES!BT18</f>
        <v>2.9475328344221547</v>
      </c>
      <c r="BU49" s="151">
        <f>TALLERES!BU13/TALLERES!BU18</f>
        <v>2.765889202755705</v>
      </c>
      <c r="BV49" s="151" t="e">
        <f>TALLERES!BV13/TALLERES!BV18</f>
        <v>#DIV/0!</v>
      </c>
      <c r="BW49" s="151">
        <f>TALLERES!BW13/TALLERES!BW18</f>
        <v>2.705417039691121</v>
      </c>
      <c r="BX49" s="151" t="e">
        <f>TALLERES!BX13/TALLERES!BX18</f>
        <v>#DIV/0!</v>
      </c>
      <c r="BY49" s="151">
        <f>TALLERES!BY13/TALLERES!BY18</f>
        <v>7.1210394622839</v>
      </c>
      <c r="BZ49" s="151">
        <f>TALLERES!BZ13/TALLERES!BZ18</f>
        <v>2.635863425996934</v>
      </c>
      <c r="CA49" s="151">
        <f>TALLERES!CA13/TALLERES!CA18</f>
        <v>2.2549066477944417</v>
      </c>
      <c r="CB49" s="151">
        <f>TALLERES!CB13/TALLERES!CB18</f>
        <v>20.085793515555675</v>
      </c>
      <c r="CC49" s="151">
        <f>TALLERES!CC13/TALLERES!CC18</f>
        <v>19.7385318668219</v>
      </c>
      <c r="CD49" s="151" t="e">
        <f>TALLERES!CD13/TALLERES!CD18</f>
        <v>#DIV/0!</v>
      </c>
      <c r="CE49" s="151">
        <f>TALLERES!CE13/TALLERES!CE18</f>
        <v>2.407597739984668</v>
      </c>
      <c r="CF49" s="151" t="e">
        <f>TALLERES!CF13/TALLERES!CF18</f>
        <v>#DIV/0!</v>
      </c>
      <c r="CG49" s="151">
        <f>TALLERES!CG13/TALLERES!CG18</f>
        <v>6.949524789213511</v>
      </c>
      <c r="CH49" s="151" t="e">
        <f>TALLERES!CH13/TALLERES!CH18</f>
        <v>#DIV/0!</v>
      </c>
      <c r="CI49" s="151">
        <f>TALLERES!CI13/TALLERES!CI18</f>
        <v>5.149401091994652</v>
      </c>
      <c r="CJ49" s="151" t="e">
        <f>TALLERES!CJ13/TALLERES!CJ18</f>
        <v>#DIV/0!</v>
      </c>
      <c r="CK49" s="151">
        <f>TALLERES!CK13/TALLERES!CK18</f>
        <v>26.8208980136872</v>
      </c>
      <c r="CL49" s="151">
        <f>TALLERES!CL13/TALLERES!CL18</f>
        <v>4.411013553119784</v>
      </c>
      <c r="CM49" s="151">
        <f>TALLERES!CM13/TALLERES!CM18</f>
        <v>4.143149873405046</v>
      </c>
      <c r="CN49" s="151" t="e">
        <f>TALLERES!CN13/TALLERES!CN18</f>
        <v>#DIV/0!</v>
      </c>
      <c r="CO49" s="151">
        <f>TALLERES!CO13/TALLERES!CO18</f>
        <v>4.516092900445445</v>
      </c>
      <c r="CP49" s="151" t="e">
        <f>TALLERES!CP13/TALLERES!CP18</f>
        <v>#DIV/0!</v>
      </c>
      <c r="CQ49" s="151">
        <f>TALLERES!CQ13/TALLERES!CQ18</f>
        <v>3.1710910323289574</v>
      </c>
      <c r="CR49" s="151">
        <f>TALLERES!CR13/TALLERES!CR18</f>
        <v>3.0295338173084</v>
      </c>
      <c r="CS49" s="151">
        <f>TALLERES!CS13/TALLERES!CS18</f>
        <v>10.625937429612199</v>
      </c>
      <c r="CT49" s="151">
        <f>TALLERES!CT13/TALLERES!CT18</f>
        <v>9.787147061689893</v>
      </c>
      <c r="CU49" s="151">
        <f>TALLERES!CU13/TALLERES!CU18</f>
        <v>16.357478062442322</v>
      </c>
      <c r="CV49" s="151" t="e">
        <f>TALLERES!CV13/TALLERES!CV18</f>
        <v>#DIV/0!</v>
      </c>
      <c r="CW49" s="151">
        <f>TALLERES!CW13/TALLERES!CW18</f>
        <v>26.969540356278866</v>
      </c>
      <c r="CX49" s="151" t="e">
        <f>TALLERES!CX13/TALLERES!CX18</f>
        <v>#DIV/0!</v>
      </c>
      <c r="CY49" s="151">
        <f>TALLERES!CY13/TALLERES!CY18</f>
        <v>2.0538198677509008</v>
      </c>
      <c r="CZ49" s="151">
        <f>TALLERES!CZ13/TALLERES!CZ18</f>
        <v>2.6474982382126653</v>
      </c>
      <c r="DA49" s="151">
        <f>TALLERES!DA13/TALLERES!DA18</f>
        <v>3.7409800102471027</v>
      </c>
      <c r="DB49" s="151">
        <f>TALLERES!DB13/TALLERES!DB18</f>
        <v>9.994959804869794</v>
      </c>
      <c r="DC49" s="151">
        <f>TALLERES!DC13/TALLERES!DC18</f>
        <v>4.363400068957108</v>
      </c>
      <c r="DD49" s="151" t="e">
        <f>TALLERES!DD13/TALLERES!DD18</f>
        <v>#DIV/0!</v>
      </c>
      <c r="DE49" s="151">
        <f>TALLERES!DE13/TALLERES!DE18</f>
        <v>3.205064901443875</v>
      </c>
      <c r="DF49" s="151" t="e">
        <f>TALLERES!DF13/TALLERES!DF18</f>
        <v>#DIV/0!</v>
      </c>
      <c r="DG49" s="151">
        <f>TALLERES!DG13/TALLERES!DG18</f>
        <v>8.00000128095583</v>
      </c>
      <c r="DH49" s="151" t="e">
        <f>TALLERES!DH13/TALLERES!DH18</f>
        <v>#DIV/0!</v>
      </c>
      <c r="DI49" s="151">
        <f>TALLERES!DI13/TALLERES!DI18</f>
        <v>6.165099268547544</v>
      </c>
      <c r="DJ49" s="151" t="e">
        <f>TALLERES!DJ13/TALLERES!DJ18</f>
        <v>#DIV/0!</v>
      </c>
      <c r="DK49" s="151">
        <f>TALLERES!DK13/TALLERES!DK18</f>
        <v>37.13582275890299</v>
      </c>
    </row>
    <row r="50" spans="1:115" s="1" customFormat="1" ht="12.75">
      <c r="A50" s="57" t="s">
        <v>69</v>
      </c>
      <c r="B50" s="52">
        <f>TALLERES!B13/TALLERES!B15</f>
        <v>2.1318841346513997</v>
      </c>
      <c r="C50" s="52">
        <f>TALLERES!C13/TALLERES!C15</f>
        <v>2.223028523804471</v>
      </c>
      <c r="D50" s="52">
        <f>TALLERES!D13/TALLERES!D15</f>
        <v>6.9970104013206615</v>
      </c>
      <c r="E50" s="52">
        <f>TALLERES!E13/TALLERES!E15</f>
        <v>4.1574609278679375</v>
      </c>
      <c r="F50" s="52">
        <f>TALLERES!F13/TALLERES!F15</f>
        <v>5.812312990845042</v>
      </c>
      <c r="G50" s="52">
        <f>TALLERES!G13/TALLERES!G15</f>
        <v>10.598208690806873</v>
      </c>
      <c r="H50" s="52">
        <f>TALLERES!H13/TALLERES!H15</f>
        <v>2.3299631241733096</v>
      </c>
      <c r="I50" s="52">
        <f>TALLERES!I13/TALLERES!I15</f>
        <v>2.2280496931100493</v>
      </c>
      <c r="J50" s="52">
        <f>TALLERES!J13/TALLERES!J15</f>
        <v>2.129190756358746</v>
      </c>
      <c r="K50" s="52">
        <f>TALLERES!K13/TALLERES!K15</f>
        <v>2.242810179208336</v>
      </c>
      <c r="L50" s="52">
        <f>TALLERES!L13/TALLERES!L15</f>
        <v>5.944670149894034</v>
      </c>
      <c r="M50" s="52">
        <f>TALLERES!M13/TALLERES!M15</f>
        <v>3.3327750380033647</v>
      </c>
      <c r="N50" s="52">
        <f>TALLERES!N13/TALLERES!N15</f>
        <v>5.01557775283654</v>
      </c>
      <c r="O50" s="52" t="e">
        <f>TALLERES!O13/TALLERES!O15</f>
        <v>#DIV/0!</v>
      </c>
      <c r="P50" s="52">
        <f>TALLERES!P13/TALLERES!P15</f>
        <v>4.51855198367919</v>
      </c>
      <c r="Q50" s="52">
        <f>TALLERES!Q13/TALLERES!Q15</f>
        <v>4.447352520940124</v>
      </c>
      <c r="R50" s="52">
        <f>TALLERES!R13/TALLERES!R15</f>
        <v>3.58319995749097</v>
      </c>
      <c r="S50" s="52">
        <f>TALLERES!S13/TALLERES!S15</f>
        <v>7.754253135820092</v>
      </c>
      <c r="T50" s="52">
        <f>TALLERES!T13/TALLERES!T15</f>
        <v>5446.30853125</v>
      </c>
      <c r="U50" s="52">
        <f>TALLERES!U13/TALLERES!U15</f>
        <v>9477.587984913793</v>
      </c>
      <c r="V50" s="52">
        <f>TALLERES!V13/TALLERES!V15</f>
        <v>1.8968941927507945</v>
      </c>
      <c r="W50" s="52">
        <f>TALLERES!W13/TALLERES!W15</f>
        <v>1.609396165403622</v>
      </c>
      <c r="X50" s="52">
        <f>TALLERES!X13/TALLERES!X15</f>
        <v>6.455440488916997</v>
      </c>
      <c r="Y50" s="52">
        <f>TALLERES!Y13/TALLERES!Y15</f>
        <v>6.303223245480855</v>
      </c>
      <c r="Z50" s="52">
        <f>TALLERES!Z13/TALLERES!Z15</f>
        <v>4.055801330770353</v>
      </c>
      <c r="AA50" s="52">
        <f>TALLERES!AA13/TALLERES!AA15</f>
        <v>4.838673541371734</v>
      </c>
      <c r="AB50" s="52">
        <f>TALLERES!AB13/TALLERES!AB15</f>
        <v>9.720441826411966</v>
      </c>
      <c r="AC50" s="52">
        <f>TALLERES!AC13/TALLERES!AC15</f>
        <v>11.889617612089134</v>
      </c>
      <c r="AD50" s="52">
        <f>TALLERES!AD13/TALLERES!AD15</f>
        <v>8.787257123409645</v>
      </c>
      <c r="AE50" s="52">
        <f>TALLERES!AE13/TALLERES!AE15</f>
        <v>9.26432991182318</v>
      </c>
      <c r="AF50" s="52">
        <f>TALLERES!AF13/TALLERES!AF15</f>
        <v>7.9590546239062325</v>
      </c>
      <c r="AG50" s="52">
        <f>TALLERES!AG13/TALLERES!AG15</f>
        <v>10.236902068192995</v>
      </c>
      <c r="AH50" s="52">
        <f>TALLERES!AH13/TALLERES!AH15</f>
        <v>2.2957138475331402</v>
      </c>
      <c r="AI50" s="52">
        <f>TALLERES!AI13/TALLERES!AI15</f>
        <v>1.75610626079897</v>
      </c>
      <c r="AJ50" s="52">
        <f>TALLERES!AJ13/TALLERES!AJ15</f>
        <v>1.9172014508485775</v>
      </c>
      <c r="AK50" s="52" t="e">
        <f>TALLERES!AK13/TALLERES!AK15</f>
        <v>#DIV/0!</v>
      </c>
      <c r="AL50" s="52">
        <f>TALLERES!AL13/TALLERES!AL15</f>
        <v>1.9850429888543226</v>
      </c>
      <c r="AM50" s="52">
        <f>TALLERES!AM13/TALLERES!AM15</f>
        <v>1.5683789156385295</v>
      </c>
      <c r="AN50" s="52">
        <f>TALLERES!AN13/TALLERES!AN15</f>
        <v>7.0620656304979645</v>
      </c>
      <c r="AO50" s="52">
        <f>TALLERES!AO13/TALLERES!AO15</f>
        <v>12.471133066848301</v>
      </c>
      <c r="AP50" s="52">
        <f>TALLERES!AP13/TALLERES!AP15</f>
        <v>-1820.2689870862616</v>
      </c>
      <c r="AQ50" s="52">
        <f>TALLERES!AQ13/TALLERES!AQ15</f>
        <v>265.15107777551566</v>
      </c>
      <c r="AR50" s="52">
        <f>TALLERES!AR13/TALLERES!AR15</f>
        <v>2.7348401095607207</v>
      </c>
      <c r="AS50" s="52">
        <f>TALLERES!AS13/TALLERES!AS15</f>
        <v>2.284452156681997</v>
      </c>
      <c r="AT50" s="52">
        <f>TALLERES!AT13/TALLERES!AT15</f>
        <v>29.468317605962273</v>
      </c>
      <c r="AU50" s="52">
        <f>TALLERES!AU13/TALLERES!AU15</f>
        <v>3.28937250270148</v>
      </c>
      <c r="AV50" s="52">
        <f>TALLERES!AV13/TALLERES!AV15</f>
        <v>5.26097971534022</v>
      </c>
      <c r="AW50" s="52" t="e">
        <f>TALLERES!AW13/TALLERES!AW15</f>
        <v>#DIV/0!</v>
      </c>
      <c r="AX50" s="52">
        <f>TALLERES!AX13/TALLERES!AX15</f>
        <v>29.386716583986246</v>
      </c>
      <c r="AY50" s="52">
        <f>TALLERES!AY13/TALLERES!AY15</f>
        <v>7.439527910767618</v>
      </c>
      <c r="AZ50" s="52">
        <f>TALLERES!AZ13/TALLERES!AZ15</f>
        <v>1.3913884156391783</v>
      </c>
      <c r="BA50" s="52">
        <f>TALLERES!BA13/TALLERES!BA15</f>
        <v>0.7211132054631758</v>
      </c>
      <c r="BB50" s="52">
        <f>TALLERES!BB13/TALLERES!BB15</f>
        <v>34.240324360964706</v>
      </c>
      <c r="BC50" s="52">
        <f>TALLERES!BC13/TALLERES!BC15</f>
        <v>14.129594830897455</v>
      </c>
      <c r="BD50" s="52" t="e">
        <f>TALLERES!BD13/TALLERES!BD15</f>
        <v>#DIV/0!</v>
      </c>
      <c r="BE50" s="52">
        <f>TALLERES!BE13/TALLERES!BE15</f>
        <v>3.550262481195628</v>
      </c>
      <c r="BF50" s="52" t="e">
        <f>TALLERES!BF13/TALLERES!BF15</f>
        <v>#DIV/0!</v>
      </c>
      <c r="BG50" s="52">
        <f>TALLERES!BG13/TALLERES!BG15</f>
        <v>3.108745230426805</v>
      </c>
      <c r="BH50" s="52" t="e">
        <f>TALLERES!BH13/TALLERES!BH15</f>
        <v>#DIV/0!</v>
      </c>
      <c r="BI50" s="52">
        <f>TALLERES!BI13/TALLERES!BI15</f>
        <v>2.663769913233563</v>
      </c>
      <c r="BJ50" s="52">
        <f>TALLERES!BJ13/TALLERES!BJ15</f>
        <v>1.3929004594137684</v>
      </c>
      <c r="BK50" s="52">
        <f>TALLERES!BK13/TALLERES!BK15</f>
        <v>1.4413557349201622</v>
      </c>
      <c r="BL50" s="52">
        <f>TALLERES!BL13/TALLERES!BL15</f>
        <v>17.77468832770116</v>
      </c>
      <c r="BM50" s="52">
        <f>TALLERES!BM13/TALLERES!BM15</f>
        <v>23.663622666064395</v>
      </c>
      <c r="BN50" s="52" t="e">
        <f>TALLERES!BN13/TALLERES!BN15</f>
        <v>#DIV/0!</v>
      </c>
      <c r="BO50" s="52">
        <f>TALLERES!BO13/TALLERES!BO15</f>
        <v>5.742985252795051</v>
      </c>
      <c r="BP50" s="52" t="e">
        <f>TALLERES!BP13/TALLERES!BP15</f>
        <v>#DIV/0!</v>
      </c>
      <c r="BQ50" s="52">
        <f>TALLERES!BQ13/TALLERES!BQ15</f>
        <v>3.0554468042766847</v>
      </c>
      <c r="BR50" s="52">
        <f>TALLERES!BR13/TALLERES!BR15</f>
        <v>3.8955657574467035</v>
      </c>
      <c r="BS50" s="52">
        <f>TALLERES!BS13/TALLERES!BS15</f>
        <v>5.0475261275421754</v>
      </c>
      <c r="BT50" s="52">
        <f>TALLERES!BT13/TALLERES!BT15</f>
        <v>2.9475328344221547</v>
      </c>
      <c r="BU50" s="52">
        <f>TALLERES!BU13/TALLERES!BU15</f>
        <v>2.765889202755705</v>
      </c>
      <c r="BV50" s="52" t="e">
        <f>TALLERES!BV13/TALLERES!BV15</f>
        <v>#DIV/0!</v>
      </c>
      <c r="BW50" s="52">
        <f>TALLERES!BW13/TALLERES!BW15</f>
        <v>2.705417039691121</v>
      </c>
      <c r="BX50" s="52" t="e">
        <f>TALLERES!BX13/TALLERES!BX15</f>
        <v>#DIV/0!</v>
      </c>
      <c r="BY50" s="52">
        <f>TALLERES!BY13/TALLERES!BY15</f>
        <v>7.1210394622839</v>
      </c>
      <c r="BZ50" s="52">
        <f>TALLERES!BZ13/TALLERES!BZ15</f>
        <v>2.635863425996934</v>
      </c>
      <c r="CA50" s="52">
        <f>TALLERES!CA13/TALLERES!CA15</f>
        <v>2.2549066477944417</v>
      </c>
      <c r="CB50" s="52">
        <f>TALLERES!CB13/TALLERES!CB15</f>
        <v>20.085793515555675</v>
      </c>
      <c r="CC50" s="52">
        <f>TALLERES!CC13/TALLERES!CC15</f>
        <v>19.7385318668219</v>
      </c>
      <c r="CD50" s="52" t="e">
        <f>TALLERES!CD13/TALLERES!CD15</f>
        <v>#DIV/0!</v>
      </c>
      <c r="CE50" s="52">
        <f>TALLERES!CE13/TALLERES!CE15</f>
        <v>12.797766374886809</v>
      </c>
      <c r="CF50" s="52" t="e">
        <f>TALLERES!CF13/TALLERES!CF15</f>
        <v>#DIV/0!</v>
      </c>
      <c r="CG50" s="52">
        <f>TALLERES!CG13/TALLERES!CG15</f>
        <v>6.949524789213511</v>
      </c>
      <c r="CH50" s="52" t="e">
        <f>TALLERES!CH13/TALLERES!CH15</f>
        <v>#DIV/0!</v>
      </c>
      <c r="CI50" s="52">
        <f>TALLERES!CI13/TALLERES!CI15</f>
        <v>5.149401091994652</v>
      </c>
      <c r="CJ50" s="52" t="e">
        <f>TALLERES!CJ13/TALLERES!CJ15</f>
        <v>#DIV/0!</v>
      </c>
      <c r="CK50" s="52">
        <f>TALLERES!CK13/TALLERES!CK15</f>
        <v>26.8208980136872</v>
      </c>
      <c r="CL50" s="52">
        <f>TALLERES!CL13/TALLERES!CL15</f>
        <v>4.411013553119784</v>
      </c>
      <c r="CM50" s="52">
        <f>TALLERES!CM13/TALLERES!CM15</f>
        <v>4.143149873405046</v>
      </c>
      <c r="CN50" s="52" t="e">
        <f>TALLERES!CN13/TALLERES!CN15</f>
        <v>#DIV/0!</v>
      </c>
      <c r="CO50" s="52">
        <f>TALLERES!CO13/TALLERES!CO15</f>
        <v>8.42532000014559</v>
      </c>
      <c r="CP50" s="52" t="e">
        <f>TALLERES!CP13/TALLERES!CP15</f>
        <v>#DIV/0!</v>
      </c>
      <c r="CQ50" s="52">
        <f>TALLERES!CQ13/TALLERES!CQ15</f>
        <v>3.1710910323289574</v>
      </c>
      <c r="CR50" s="52">
        <f>TALLERES!CR13/TALLERES!CR15</f>
        <v>3.0295338173084</v>
      </c>
      <c r="CS50" s="52">
        <f>TALLERES!CS13/TALLERES!CS15</f>
        <v>10.625937429612199</v>
      </c>
      <c r="CT50" s="52">
        <f>TALLERES!CT13/TALLERES!CT15</f>
        <v>9.787147061689893</v>
      </c>
      <c r="CU50" s="52">
        <f>TALLERES!CU13/TALLERES!CU15</f>
        <v>16.357478062442322</v>
      </c>
      <c r="CV50" s="52" t="e">
        <f>TALLERES!CV13/TALLERES!CV15</f>
        <v>#DIV/0!</v>
      </c>
      <c r="CW50" s="52">
        <f>TALLERES!CW13/TALLERES!CW15</f>
        <v>26.969540356278866</v>
      </c>
      <c r="CX50" s="52" t="e">
        <f>TALLERES!CX13/TALLERES!CX15</f>
        <v>#DIV/0!</v>
      </c>
      <c r="CY50" s="52">
        <f>TALLERES!CY13/TALLERES!CY15</f>
        <v>2.4202894082138022</v>
      </c>
      <c r="CZ50" s="52">
        <f>TALLERES!CZ13/TALLERES!CZ15</f>
        <v>2.6474982382126653</v>
      </c>
      <c r="DA50" s="52">
        <f>TALLERES!DA13/TALLERES!DA15</f>
        <v>3.7409800102471027</v>
      </c>
      <c r="DB50" s="52">
        <f>TALLERES!DB13/TALLERES!DB15</f>
        <v>9.994959804869794</v>
      </c>
      <c r="DC50" s="52">
        <f>TALLERES!DC13/TALLERES!DC15</f>
        <v>4.363400068957108</v>
      </c>
      <c r="DD50" s="52" t="e">
        <f>TALLERES!DD13/TALLERES!DD15</f>
        <v>#DIV/0!</v>
      </c>
      <c r="DE50" s="52">
        <f>TALLERES!DE13/TALLERES!DE15</f>
        <v>3.205064901443875</v>
      </c>
      <c r="DF50" s="52" t="e">
        <f>TALLERES!DF13/TALLERES!DF15</f>
        <v>#DIV/0!</v>
      </c>
      <c r="DG50" s="52">
        <f>TALLERES!DG13/TALLERES!DG15</f>
        <v>8.00000128095583</v>
      </c>
      <c r="DH50" s="52" t="e">
        <f>TALLERES!DH13/TALLERES!DH15</f>
        <v>#DIV/0!</v>
      </c>
      <c r="DI50" s="52">
        <f>TALLERES!DI13/TALLERES!DI15</f>
        <v>6.165099268547544</v>
      </c>
      <c r="DJ50" s="52" t="e">
        <f>TALLERES!DJ13/TALLERES!DJ15</f>
        <v>#DIV/0!</v>
      </c>
      <c r="DK50" s="52">
        <f>TALLERES!DK13/TALLERES!DK15</f>
        <v>37.13582275890299</v>
      </c>
    </row>
    <row r="51" spans="1:115" s="1" customFormat="1" ht="12.75">
      <c r="A51" s="55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</row>
    <row r="52" spans="1:115" s="1" customFormat="1" ht="12.75">
      <c r="A52" s="57" t="s">
        <v>61</v>
      </c>
      <c r="B52" s="52">
        <f>TALLERES!B11/TALLERES!B16</f>
        <v>1.7979119107189983</v>
      </c>
      <c r="C52" s="52">
        <f>TALLERES!C11/TALLERES!C16</f>
        <v>2.373238548931705</v>
      </c>
      <c r="D52" s="52">
        <f>TALLERES!D11/TALLERES!D16</f>
        <v>1.7628796179556572</v>
      </c>
      <c r="E52" s="52">
        <f>TALLERES!E11/TALLERES!E16</f>
        <v>0.08816628581878531</v>
      </c>
      <c r="F52" s="52" t="e">
        <f>TALLERES!F11/TALLERES!F16</f>
        <v>#DIV/0!</v>
      </c>
      <c r="G52" s="52" t="e">
        <f>TALLERES!G11/TALLERES!G16</f>
        <v>#DIV/0!</v>
      </c>
      <c r="H52" s="52" t="e">
        <f>TALLERES!H11/TALLERES!H16</f>
        <v>#DIV/0!</v>
      </c>
      <c r="I52" s="52" t="e">
        <f>TALLERES!I11/TALLERES!I16</f>
        <v>#DIV/0!</v>
      </c>
      <c r="J52" s="52">
        <f>TALLERES!J11/TALLERES!J16</f>
        <v>0.5638133667180932</v>
      </c>
      <c r="K52" s="52">
        <f>TALLERES!K11/TALLERES!K16</f>
        <v>2.1113858887804877</v>
      </c>
      <c r="L52" s="52">
        <f>TALLERES!L11/TALLERES!L16</f>
        <v>0.426242839808234</v>
      </c>
      <c r="M52" s="52">
        <f>TALLERES!M11/TALLERES!M16</f>
        <v>2.0610271904540447</v>
      </c>
      <c r="N52" s="52" t="e">
        <f>TALLERES!N11/TALLERES!N16</f>
        <v>#DIV/0!</v>
      </c>
      <c r="O52" s="52">
        <f>TALLERES!O11/TALLERES!O16</f>
        <v>1.0226488850880076</v>
      </c>
      <c r="P52" s="52" t="e">
        <f>TALLERES!P11/TALLERES!P16</f>
        <v>#DIV/0!</v>
      </c>
      <c r="Q52" s="52" t="e">
        <f>TALLERES!Q11/TALLERES!Q16</f>
        <v>#DIV/0!</v>
      </c>
      <c r="R52" s="52">
        <f>TALLERES!R11/TALLERES!R16</f>
        <v>6.345426379488137</v>
      </c>
      <c r="S52" s="52" t="e">
        <f>TALLERES!S11/TALLERES!S16</f>
        <v>#DIV/0!</v>
      </c>
      <c r="T52" s="52" t="e">
        <f>TALLERES!T11/TALLERES!T16</f>
        <v>#DIV/0!</v>
      </c>
      <c r="U52" s="52" t="e">
        <f>TALLERES!U11/TALLERES!U16</f>
        <v>#DIV/0!</v>
      </c>
      <c r="V52" s="52">
        <f>TALLERES!V11/TALLERES!V16</f>
        <v>2524.275774738684</v>
      </c>
      <c r="W52" s="52">
        <f>TALLERES!W11/TALLERES!W16</f>
        <v>7.453927850554144</v>
      </c>
      <c r="X52" s="52" t="e">
        <f>TALLERES!X11/TALLERES!X16</f>
        <v>#DIV/0!</v>
      </c>
      <c r="Y52" s="52" t="e">
        <f>TALLERES!Y11/TALLERES!Y16</f>
        <v>#DIV/0!</v>
      </c>
      <c r="Z52" s="52" t="e">
        <f>TALLERES!Z11/TALLERES!Z16</f>
        <v>#DIV/0!</v>
      </c>
      <c r="AA52" s="52" t="e">
        <f>TALLERES!AA11/TALLERES!AA16</f>
        <v>#DIV/0!</v>
      </c>
      <c r="AB52" s="52">
        <f>TALLERES!AB11/TALLERES!AB16</f>
        <v>2.5224604041507375</v>
      </c>
      <c r="AC52" s="52">
        <f>TALLERES!AC11/TALLERES!AC16</f>
        <v>2.1071133167907363</v>
      </c>
      <c r="AD52" s="52" t="e">
        <f>TALLERES!AD11/TALLERES!AD16</f>
        <v>#DIV/0!</v>
      </c>
      <c r="AE52" s="52" t="e">
        <f>TALLERES!AE11/TALLERES!AE16</f>
        <v>#DIV/0!</v>
      </c>
      <c r="AF52" s="52">
        <f>TALLERES!AF11/TALLERES!AF16</f>
        <v>2.3211110112643683</v>
      </c>
      <c r="AG52" s="52">
        <f>TALLERES!AG11/TALLERES!AG16</f>
        <v>3.4668823889339673</v>
      </c>
      <c r="AH52" s="52">
        <f>TALLERES!AH11/TALLERES!AH16</f>
        <v>1.7999301766956846</v>
      </c>
      <c r="AI52" s="52">
        <f>TALLERES!AI11/TALLERES!AI16</f>
        <v>2.0723289280674355</v>
      </c>
      <c r="AJ52" s="52" t="e">
        <f>TALLERES!AJ11/TALLERES!AJ16</f>
        <v>#DIV/0!</v>
      </c>
      <c r="AK52" s="52" t="e">
        <f>TALLERES!AK11/TALLERES!AK16</f>
        <v>#DIV/0!</v>
      </c>
      <c r="AL52" s="52" t="e">
        <f>TALLERES!AL11/TALLERES!AL16</f>
        <v>#DIV/0!</v>
      </c>
      <c r="AM52" s="52" t="e">
        <f>TALLERES!AM11/TALLERES!AM16</f>
        <v>#DIV/0!</v>
      </c>
      <c r="AN52" s="52" t="e">
        <f>TALLERES!AN11/TALLERES!AN16</f>
        <v>#DIV/0!</v>
      </c>
      <c r="AO52" s="52" t="e">
        <f>TALLERES!AO11/TALLERES!AO16</f>
        <v>#DIV/0!</v>
      </c>
      <c r="AP52" s="52">
        <f>TALLERES!AP11/TALLERES!AP16</f>
        <v>145.618473521743</v>
      </c>
      <c r="AQ52" s="52">
        <f>TALLERES!AQ11/TALLERES!AQ16</f>
        <v>141.84567235731737</v>
      </c>
      <c r="AR52" s="52" t="e">
        <f>TALLERES!AR11/TALLERES!AR16</f>
        <v>#DIV/0!</v>
      </c>
      <c r="AS52" s="52" t="e">
        <f>TALLERES!AS11/TALLERES!AS16</f>
        <v>#DIV/0!</v>
      </c>
      <c r="AT52" s="52" t="e">
        <f>TALLERES!AT11/TALLERES!AT16</f>
        <v>#DIV/0!</v>
      </c>
      <c r="AU52" s="52" t="e">
        <f>TALLERES!AU11/TALLERES!AU16</f>
        <v>#DIV/0!</v>
      </c>
      <c r="AV52" s="52" t="e">
        <f>TALLERES!AV11/TALLERES!AV16</f>
        <v>#DIV/0!</v>
      </c>
      <c r="AW52" s="52" t="e">
        <f>TALLERES!AW11/TALLERES!AW16</f>
        <v>#DIV/0!</v>
      </c>
      <c r="AX52" s="52" t="e">
        <f>TALLERES!AX11/TALLERES!AX16</f>
        <v>#DIV/0!</v>
      </c>
      <c r="AY52" s="52" t="e">
        <f>TALLERES!AY11/TALLERES!AY16</f>
        <v>#DIV/0!</v>
      </c>
      <c r="AZ52" s="52" t="e">
        <f>TALLERES!AZ11/TALLERES!AZ16</f>
        <v>#DIV/0!</v>
      </c>
      <c r="BA52" s="52">
        <f>TALLERES!BA11/TALLERES!BA16</f>
        <v>23.173006222531157</v>
      </c>
      <c r="BB52" s="52">
        <f>TALLERES!BB11/TALLERES!BB16</f>
        <v>1.2656964129396382</v>
      </c>
      <c r="BC52" s="52">
        <f>TALLERES!BC11/TALLERES!BC16</f>
        <v>1.2535709375183703</v>
      </c>
      <c r="BD52" s="52" t="e">
        <f>TALLERES!BD11/TALLERES!BD16</f>
        <v>#DIV/0!</v>
      </c>
      <c r="BE52" s="52">
        <f>TALLERES!BE11/TALLERES!BE16</f>
        <v>3.062397260380452</v>
      </c>
      <c r="BF52" s="52" t="e">
        <f>TALLERES!BF11/TALLERES!BF16</f>
        <v>#DIV/0!</v>
      </c>
      <c r="BG52" s="52" t="e">
        <f>TALLERES!BG11/TALLERES!BG16</f>
        <v>#DIV/0!</v>
      </c>
      <c r="BH52" s="52" t="e">
        <f>TALLERES!BH11/TALLERES!BH16</f>
        <v>#DIV/0!</v>
      </c>
      <c r="BI52" s="52">
        <f>TALLERES!BI11/TALLERES!BI16</f>
        <v>3.0999727926237277</v>
      </c>
      <c r="BJ52" s="52">
        <f>TALLERES!BJ11/TALLERES!BJ16</f>
        <v>0.7742451915491297</v>
      </c>
      <c r="BK52" s="52">
        <f>TALLERES!BK11/TALLERES!BK16</f>
        <v>1.2078071028704191</v>
      </c>
      <c r="BL52" s="52">
        <f>TALLERES!BL11/TALLERES!BL16</f>
        <v>1.3050073765705856</v>
      </c>
      <c r="BM52" s="52">
        <f>TALLERES!BM11/TALLERES!BM16</f>
        <v>1.358014998312323</v>
      </c>
      <c r="BN52" s="52" t="e">
        <f>TALLERES!BN11/TALLERES!BN16</f>
        <v>#DIV/0!</v>
      </c>
      <c r="BO52" s="52" t="e">
        <f>TALLERES!BO11/TALLERES!BO16</f>
        <v>#DIV/0!</v>
      </c>
      <c r="BP52" s="52" t="e">
        <f>TALLERES!BP11/TALLERES!BP16</f>
        <v>#DIV/0!</v>
      </c>
      <c r="BQ52" s="52">
        <f>TALLERES!BQ11/TALLERES!BQ16</f>
        <v>3.0887111</v>
      </c>
      <c r="BR52" s="52">
        <f>TALLERES!BR11/TALLERES!BR16</f>
        <v>11.328568492005482</v>
      </c>
      <c r="BS52" s="52">
        <f>TALLERES!BS11/TALLERES!BS16</f>
        <v>2.247278967745278</v>
      </c>
      <c r="BT52" s="52" t="e">
        <f>TALLERES!BT11/TALLERES!BT16</f>
        <v>#DIV/0!</v>
      </c>
      <c r="BU52" s="52" t="e">
        <f>TALLERES!BU11/TALLERES!BU16</f>
        <v>#DIV/0!</v>
      </c>
      <c r="BV52" s="52" t="e">
        <f>TALLERES!BV11/TALLERES!BV16</f>
        <v>#DIV/0!</v>
      </c>
      <c r="BW52" s="52" t="e">
        <f>TALLERES!BW11/TALLERES!BW16</f>
        <v>#DIV/0!</v>
      </c>
      <c r="BX52" s="52" t="e">
        <f>TALLERES!BX11/TALLERES!BX16</f>
        <v>#DIV/0!</v>
      </c>
      <c r="BY52" s="52" t="e">
        <f>TALLERES!BY11/TALLERES!BY16</f>
        <v>#DIV/0!</v>
      </c>
      <c r="BZ52" s="52" t="e">
        <f>TALLERES!BZ11/TALLERES!BZ16</f>
        <v>#DIV/0!</v>
      </c>
      <c r="CA52" s="52" t="e">
        <f>TALLERES!CA11/TALLERES!CA16</f>
        <v>#DIV/0!</v>
      </c>
      <c r="CB52" s="52" t="e">
        <f>TALLERES!CB11/TALLERES!CB16</f>
        <v>#DIV/0!</v>
      </c>
      <c r="CC52" s="52" t="e">
        <f>TALLERES!CC11/TALLERES!CC16</f>
        <v>#DIV/0!</v>
      </c>
      <c r="CD52" s="52" t="e">
        <f>TALLERES!CD11/TALLERES!CD16</f>
        <v>#DIV/0!</v>
      </c>
      <c r="CE52" s="52">
        <f>TALLERES!CE11/TALLERES!CE16</f>
        <v>1.8511278195488723</v>
      </c>
      <c r="CF52" s="52" t="e">
        <f>TALLERES!CF11/TALLERES!CF16</f>
        <v>#DIV/0!</v>
      </c>
      <c r="CG52" s="52" t="e">
        <f>TALLERES!CG11/TALLERES!CG16</f>
        <v>#DIV/0!</v>
      </c>
      <c r="CH52" s="52" t="e">
        <f>TALLERES!CH11/TALLERES!CH16</f>
        <v>#DIV/0!</v>
      </c>
      <c r="CI52" s="52" t="e">
        <f>TALLERES!CI11/TALLERES!CI16</f>
        <v>#DIV/0!</v>
      </c>
      <c r="CJ52" s="52" t="e">
        <f>TALLERES!CJ11/TALLERES!CJ16</f>
        <v>#DIV/0!</v>
      </c>
      <c r="CK52" s="52" t="e">
        <f>TALLERES!CK11/TALLERES!CK16</f>
        <v>#DIV/0!</v>
      </c>
      <c r="CL52" s="52" t="e">
        <f>TALLERES!CL11/TALLERES!CL16</f>
        <v>#DIV/0!</v>
      </c>
      <c r="CM52" s="52" t="e">
        <f>TALLERES!CM11/TALLERES!CM16</f>
        <v>#DIV/0!</v>
      </c>
      <c r="CN52" s="52" t="e">
        <f>TALLERES!CN11/TALLERES!CN16</f>
        <v>#DIV/0!</v>
      </c>
      <c r="CO52" s="52" t="e">
        <f>TALLERES!CO11/TALLERES!CO16</f>
        <v>#DIV/0!</v>
      </c>
      <c r="CP52" s="52" t="e">
        <f>TALLERES!CP11/TALLERES!CP16</f>
        <v>#DIV/0!</v>
      </c>
      <c r="CQ52" s="52" t="e">
        <f>TALLERES!CQ11/TALLERES!CQ16</f>
        <v>#DIV/0!</v>
      </c>
      <c r="CR52" s="52" t="e">
        <f>TALLERES!CR11/TALLERES!CR16</f>
        <v>#DIV/0!</v>
      </c>
      <c r="CS52" s="52" t="e">
        <f>TALLERES!CS11/TALLERES!CS16</f>
        <v>#DIV/0!</v>
      </c>
      <c r="CT52" s="52" t="e">
        <f>TALLERES!CT11/TALLERES!CT16</f>
        <v>#DIV/0!</v>
      </c>
      <c r="CU52" s="52" t="e">
        <f>TALLERES!CU11/TALLERES!CU16</f>
        <v>#DIV/0!</v>
      </c>
      <c r="CV52" s="52" t="e">
        <f>TALLERES!CV11/TALLERES!CV16</f>
        <v>#DIV/0!</v>
      </c>
      <c r="CW52" s="52" t="e">
        <f>TALLERES!CW11/TALLERES!CW16</f>
        <v>#DIV/0!</v>
      </c>
      <c r="CX52" s="52" t="e">
        <f>TALLERES!CX11/TALLERES!CX16</f>
        <v>#DIV/0!</v>
      </c>
      <c r="CY52" s="52">
        <f>TALLERES!CY11/TALLERES!CY16</f>
        <v>12.4075</v>
      </c>
      <c r="CZ52" s="52" t="e">
        <f>TALLERES!CZ11/TALLERES!CZ16</f>
        <v>#DIV/0!</v>
      </c>
      <c r="DA52" s="52" t="e">
        <f>TALLERES!DA11/TALLERES!DA16</f>
        <v>#DIV/0!</v>
      </c>
      <c r="DB52" s="52" t="e">
        <f>TALLERES!DB11/TALLERES!DB16</f>
        <v>#DIV/0!</v>
      </c>
      <c r="DC52" s="52" t="e">
        <f>TALLERES!DC11/TALLERES!DC16</f>
        <v>#DIV/0!</v>
      </c>
      <c r="DD52" s="52" t="e">
        <f>TALLERES!DD11/TALLERES!DD16</f>
        <v>#DIV/0!</v>
      </c>
      <c r="DE52" s="52" t="e">
        <f>TALLERES!DE11/TALLERES!DE16</f>
        <v>#DIV/0!</v>
      </c>
      <c r="DF52" s="52" t="e">
        <f>TALLERES!DF11/TALLERES!DF16</f>
        <v>#DIV/0!</v>
      </c>
      <c r="DG52" s="52" t="e">
        <f>TALLERES!DG11/TALLERES!DG16</f>
        <v>#DIV/0!</v>
      </c>
      <c r="DH52" s="52" t="e">
        <f>TALLERES!DH11/TALLERES!DH16</f>
        <v>#DIV/0!</v>
      </c>
      <c r="DI52" s="52" t="e">
        <f>TALLERES!DI11/TALLERES!DI16</f>
        <v>#DIV/0!</v>
      </c>
      <c r="DJ52" s="52" t="e">
        <f>TALLERES!DJ11/TALLERES!DJ16</f>
        <v>#DIV/0!</v>
      </c>
      <c r="DK52" s="52" t="e">
        <f>TALLERES!DK11/TALLERES!DK16</f>
        <v>#DIV/0!</v>
      </c>
    </row>
    <row r="53" spans="1:115" s="152" customFormat="1" ht="12.75">
      <c r="A53" s="57" t="s">
        <v>59</v>
      </c>
      <c r="B53" s="151">
        <f>TALLERES!B13/TALLERES!B18</f>
        <v>1.7327506873007281</v>
      </c>
      <c r="C53" s="151">
        <f>TALLERES!C13/TALLERES!C18</f>
        <v>1.8389184300378214</v>
      </c>
      <c r="D53" s="151">
        <f>TALLERES!D13/TALLERES!D18</f>
        <v>1.7905242999015176</v>
      </c>
      <c r="E53" s="151">
        <f>TALLERES!E13/TALLERES!E18</f>
        <v>1.7494564714572216</v>
      </c>
      <c r="F53" s="151">
        <f>TALLERES!F13/TALLERES!F18</f>
        <v>5.812312990845042</v>
      </c>
      <c r="G53" s="151">
        <f>TALLERES!G13/TALLERES!G18</f>
        <v>10.598208690806873</v>
      </c>
      <c r="H53" s="151">
        <f>TALLERES!H13/TALLERES!H18</f>
        <v>2.3299631241733096</v>
      </c>
      <c r="I53" s="151">
        <f>TALLERES!I13/TALLERES!I18</f>
        <v>2.2280496931100493</v>
      </c>
      <c r="J53" s="151">
        <f>TALLERES!J13/TALLERES!J18</f>
        <v>1.715402434378921</v>
      </c>
      <c r="K53" s="151">
        <f>TALLERES!K13/TALLERES!K18</f>
        <v>1.654532989250508</v>
      </c>
      <c r="L53" s="151">
        <f>TALLERES!L13/TALLERES!L18</f>
        <v>1.7747744848335942</v>
      </c>
      <c r="M53" s="151">
        <f>TALLERES!M13/TALLERES!M18</f>
        <v>1.803808606663294</v>
      </c>
      <c r="N53" s="151">
        <f>TALLERES!N13/TALLERES!N18</f>
        <v>5.01557775283654</v>
      </c>
      <c r="O53" s="151">
        <f>TALLERES!O13/TALLERES!O18</f>
        <v>9.148847438040923</v>
      </c>
      <c r="P53" s="151">
        <f>TALLERES!P13/TALLERES!P18</f>
        <v>4.51855198367919</v>
      </c>
      <c r="Q53" s="151">
        <f>TALLERES!Q13/TALLERES!Q18</f>
        <v>4.447352520940124</v>
      </c>
      <c r="R53" s="151">
        <f>TALLERES!R13/TALLERES!R18</f>
        <v>3.1949496325427407</v>
      </c>
      <c r="S53" s="151">
        <f>TALLERES!S13/TALLERES!S18</f>
        <v>7.754253135820092</v>
      </c>
      <c r="T53" s="151">
        <f>TALLERES!T13/TALLERES!T18</f>
        <v>5446.30853125</v>
      </c>
      <c r="U53" s="151">
        <f>TALLERES!U13/TALLERES!U18</f>
        <v>9477.587984913793</v>
      </c>
      <c r="V53" s="151">
        <f>TALLERES!V13/TALLERES!V18</f>
        <v>1.89661048910073</v>
      </c>
      <c r="W53" s="151">
        <f>TALLERES!W13/TALLERES!W18</f>
        <v>1.5495529359521323</v>
      </c>
      <c r="X53" s="151">
        <f>TALLERES!X13/TALLERES!X18</f>
        <v>6.455440488916997</v>
      </c>
      <c r="Y53" s="151">
        <f>TALLERES!Y13/TALLERES!Y18</f>
        <v>6.303223245480855</v>
      </c>
      <c r="Z53" s="151">
        <f>TALLERES!Z13/TALLERES!Z18</f>
        <v>4.055801330770353</v>
      </c>
      <c r="AA53" s="151">
        <f>TALLERES!AA13/TALLERES!AA18</f>
        <v>4.838673541371734</v>
      </c>
      <c r="AB53" s="151">
        <f>TALLERES!AB13/TALLERES!AB18</f>
        <v>8.12827566156203</v>
      </c>
      <c r="AC53" s="151">
        <f>TALLERES!AC13/TALLERES!AC18</f>
        <v>8.122998716033855</v>
      </c>
      <c r="AD53" s="151">
        <f>TALLERES!AD13/TALLERES!AD18</f>
        <v>8.787257123409645</v>
      </c>
      <c r="AE53" s="151">
        <f>TALLERES!AE13/TALLERES!AE18</f>
        <v>9.26432991182318</v>
      </c>
      <c r="AF53" s="151">
        <f>TALLERES!AF13/TALLERES!AF18</f>
        <v>2.3908540243647427</v>
      </c>
      <c r="AG53" s="151">
        <f>TALLERES!AG13/TALLERES!AG18</f>
        <v>3.1442787320408114</v>
      </c>
      <c r="AH53" s="151">
        <f>TALLERES!AH13/TALLERES!AH18</f>
        <v>1.5068122989180623</v>
      </c>
      <c r="AI53" s="151">
        <f>TALLERES!AI13/TALLERES!AI18</f>
        <v>1.2467633612255602</v>
      </c>
      <c r="AJ53" s="151">
        <f>TALLERES!AJ13/TALLERES!AJ18</f>
        <v>1.9172014508485775</v>
      </c>
      <c r="AK53" s="151" t="e">
        <f>TALLERES!AK13/TALLERES!AK18</f>
        <v>#DIV/0!</v>
      </c>
      <c r="AL53" s="151">
        <f>TALLERES!AL13/TALLERES!AL18</f>
        <v>1.9850429888543226</v>
      </c>
      <c r="AM53" s="151">
        <f>TALLERES!AM13/TALLERES!AM18</f>
        <v>1.5683789156385295</v>
      </c>
      <c r="AN53" s="151">
        <f>TALLERES!AN13/TALLERES!AN18</f>
        <v>7.0620656304979645</v>
      </c>
      <c r="AO53" s="151">
        <f>TALLERES!AO13/TALLERES!AO18</f>
        <v>12.471133066848301</v>
      </c>
      <c r="AP53" s="151">
        <f>TALLERES!AP13/TALLERES!AP18</f>
        <v>215.83584447102544</v>
      </c>
      <c r="AQ53" s="151">
        <f>TALLERES!AQ13/TALLERES!AQ18</f>
        <v>110.69720795930724</v>
      </c>
      <c r="AR53" s="151">
        <f>TALLERES!AR13/TALLERES!AR18</f>
        <v>2.7348401095607207</v>
      </c>
      <c r="AS53" s="151">
        <f>TALLERES!AS13/TALLERES!AS18</f>
        <v>2.284452156681997</v>
      </c>
      <c r="AT53" s="151">
        <f>TALLERES!AT13/TALLERES!AT18</f>
        <v>29.468317605962273</v>
      </c>
      <c r="AU53" s="151">
        <f>TALLERES!AU13/TALLERES!AU18</f>
        <v>3.28937250270148</v>
      </c>
      <c r="AV53" s="151">
        <f>TALLERES!AV13/TALLERES!AV18</f>
        <v>2.8030876943306944</v>
      </c>
      <c r="AW53" s="151" t="e">
        <f>TALLERES!AW13/TALLERES!AW18</f>
        <v>#DIV/0!</v>
      </c>
      <c r="AX53" s="151">
        <f>TALLERES!AX13/TALLERES!AX18</f>
        <v>29.386716583986246</v>
      </c>
      <c r="AY53" s="151">
        <f>TALLERES!AY13/TALLERES!AY18</f>
        <v>7.439527910767618</v>
      </c>
      <c r="AZ53" s="151">
        <f>TALLERES!AZ13/TALLERES!AZ18</f>
        <v>1.3913884156391783</v>
      </c>
      <c r="BA53" s="151">
        <f>TALLERES!BA13/TALLERES!BA18</f>
        <v>0.6998712470073291</v>
      </c>
      <c r="BB53" s="151">
        <f>TALLERES!BB13/TALLERES!BB18</f>
        <v>1.533008125885726</v>
      </c>
      <c r="BC53" s="151">
        <f>TALLERES!BC13/TALLERES!BC18</f>
        <v>1.599308009007802</v>
      </c>
      <c r="BD53" s="151" t="e">
        <f>TALLERES!BD13/TALLERES!BD18</f>
        <v>#DIV/0!</v>
      </c>
      <c r="BE53" s="151">
        <f>TALLERES!BE13/TALLERES!BE18</f>
        <v>2.009489580995239</v>
      </c>
      <c r="BF53" s="151" t="e">
        <f>TALLERES!BF13/TALLERES!BF18</f>
        <v>#DIV/0!</v>
      </c>
      <c r="BG53" s="151">
        <f>TALLERES!BG13/TALLERES!BG18</f>
        <v>3.108745230426805</v>
      </c>
      <c r="BH53" s="151" t="e">
        <f>TALLERES!BH13/TALLERES!BH18</f>
        <v>#DIV/0!</v>
      </c>
      <c r="BI53" s="151">
        <f>TALLERES!BI13/TALLERES!BI18</f>
        <v>2.0609093598156862</v>
      </c>
      <c r="BJ53" s="151">
        <f>TALLERES!BJ13/TALLERES!BJ18</f>
        <v>1.3221690620727318</v>
      </c>
      <c r="BK53" s="151">
        <f>TALLERES!BK13/TALLERES!BK18</f>
        <v>1.3862052483408305</v>
      </c>
      <c r="BL53" s="151">
        <f>TALLERES!BL13/TALLERES!BL18</f>
        <v>2.903023437937014</v>
      </c>
      <c r="BM53" s="151">
        <f>TALLERES!BM13/TALLERES!BM18</f>
        <v>3.1732368014523833</v>
      </c>
      <c r="BN53" s="151" t="e">
        <f>TALLERES!BN13/TALLERES!BN18</f>
        <v>#DIV/0!</v>
      </c>
      <c r="BO53" s="151">
        <f>TALLERES!BO13/TALLERES!BO18</f>
        <v>5.742985252795051</v>
      </c>
      <c r="BP53" s="151" t="e">
        <f>TALLERES!BP13/TALLERES!BP18</f>
        <v>#DIV/0!</v>
      </c>
      <c r="BQ53" s="151">
        <f>TALLERES!BQ13/TALLERES!BQ18</f>
        <v>2.531902533238632</v>
      </c>
      <c r="BR53" s="151">
        <f>TALLERES!BR13/TALLERES!BR18</f>
        <v>3.5741932012590456</v>
      </c>
      <c r="BS53" s="151">
        <f>TALLERES!BS13/TALLERES!BS18</f>
        <v>2.1372354677560637</v>
      </c>
      <c r="BT53" s="151">
        <f>TALLERES!BT13/TALLERES!BT18</f>
        <v>2.9475328344221547</v>
      </c>
      <c r="BU53" s="151">
        <f>TALLERES!BU13/TALLERES!BU18</f>
        <v>2.765889202755705</v>
      </c>
      <c r="BV53" s="151" t="e">
        <f>TALLERES!BV13/TALLERES!BV18</f>
        <v>#DIV/0!</v>
      </c>
      <c r="BW53" s="151">
        <f>TALLERES!BW13/TALLERES!BW18</f>
        <v>2.705417039691121</v>
      </c>
      <c r="BX53" s="151" t="e">
        <f>TALLERES!BX13/TALLERES!BX18</f>
        <v>#DIV/0!</v>
      </c>
      <c r="BY53" s="151">
        <f>TALLERES!BY13/TALLERES!BY18</f>
        <v>7.1210394622839</v>
      </c>
      <c r="BZ53" s="151">
        <f>TALLERES!BZ13/TALLERES!BZ18</f>
        <v>2.635863425996934</v>
      </c>
      <c r="CA53" s="151">
        <f>TALLERES!CA13/TALLERES!CA18</f>
        <v>2.2549066477944417</v>
      </c>
      <c r="CB53" s="151">
        <f>TALLERES!CB13/TALLERES!CB18</f>
        <v>20.085793515555675</v>
      </c>
      <c r="CC53" s="151">
        <f>TALLERES!CC13/TALLERES!CC18</f>
        <v>19.7385318668219</v>
      </c>
      <c r="CD53" s="151" t="e">
        <f>TALLERES!CD13/TALLERES!CD18</f>
        <v>#DIV/0!</v>
      </c>
      <c r="CE53" s="151">
        <f>TALLERES!CE13/TALLERES!CE18</f>
        <v>2.407597739984668</v>
      </c>
      <c r="CF53" s="151" t="e">
        <f>TALLERES!CF13/TALLERES!CF18</f>
        <v>#DIV/0!</v>
      </c>
      <c r="CG53" s="151">
        <f>TALLERES!CG13/TALLERES!CG18</f>
        <v>6.949524789213511</v>
      </c>
      <c r="CH53" s="151" t="e">
        <f>TALLERES!CH13/TALLERES!CH18</f>
        <v>#DIV/0!</v>
      </c>
      <c r="CI53" s="151">
        <f>TALLERES!CI13/TALLERES!CI18</f>
        <v>5.149401091994652</v>
      </c>
      <c r="CJ53" s="151" t="e">
        <f>TALLERES!CJ13/TALLERES!CJ18</f>
        <v>#DIV/0!</v>
      </c>
      <c r="CK53" s="151">
        <f>TALLERES!CK13/TALLERES!CK18</f>
        <v>26.8208980136872</v>
      </c>
      <c r="CL53" s="151">
        <f>TALLERES!CL13/TALLERES!CL18</f>
        <v>4.411013553119784</v>
      </c>
      <c r="CM53" s="151">
        <f>TALLERES!CM13/TALLERES!CM18</f>
        <v>4.143149873405046</v>
      </c>
      <c r="CN53" s="151" t="e">
        <f>TALLERES!CN13/TALLERES!CN18</f>
        <v>#DIV/0!</v>
      </c>
      <c r="CO53" s="151">
        <f>TALLERES!CO13/TALLERES!CO18</f>
        <v>4.516092900445445</v>
      </c>
      <c r="CP53" s="151" t="e">
        <f>TALLERES!CP13/TALLERES!CP18</f>
        <v>#DIV/0!</v>
      </c>
      <c r="CQ53" s="151">
        <f>TALLERES!CQ13/TALLERES!CQ18</f>
        <v>3.1710910323289574</v>
      </c>
      <c r="CR53" s="151">
        <f>TALLERES!CR13/TALLERES!CR18</f>
        <v>3.0295338173084</v>
      </c>
      <c r="CS53" s="151">
        <f>TALLERES!CS13/TALLERES!CS18</f>
        <v>10.625937429612199</v>
      </c>
      <c r="CT53" s="151">
        <f>TALLERES!CT13/TALLERES!CT18</f>
        <v>9.787147061689893</v>
      </c>
      <c r="CU53" s="151">
        <f>TALLERES!CU13/TALLERES!CU18</f>
        <v>16.357478062442322</v>
      </c>
      <c r="CV53" s="151" t="e">
        <f>TALLERES!CV13/TALLERES!CV18</f>
        <v>#DIV/0!</v>
      </c>
      <c r="CW53" s="151">
        <f>TALLERES!CW13/TALLERES!CW18</f>
        <v>26.969540356278866</v>
      </c>
      <c r="CX53" s="151" t="e">
        <f>TALLERES!CX13/TALLERES!CX18</f>
        <v>#DIV/0!</v>
      </c>
      <c r="CY53" s="151">
        <f>TALLERES!CY13/TALLERES!CY18</f>
        <v>2.0538198677509008</v>
      </c>
      <c r="CZ53" s="151">
        <f>TALLERES!CZ13/TALLERES!CZ18</f>
        <v>2.6474982382126653</v>
      </c>
      <c r="DA53" s="151">
        <f>TALLERES!DA13/TALLERES!DA18</f>
        <v>3.7409800102471027</v>
      </c>
      <c r="DB53" s="151">
        <f>TALLERES!DB13/TALLERES!DB18</f>
        <v>9.994959804869794</v>
      </c>
      <c r="DC53" s="151">
        <f>TALLERES!DC13/TALLERES!DC18</f>
        <v>4.363400068957108</v>
      </c>
      <c r="DD53" s="151" t="e">
        <f>TALLERES!DD13/TALLERES!DD18</f>
        <v>#DIV/0!</v>
      </c>
      <c r="DE53" s="151">
        <f>TALLERES!DE13/TALLERES!DE18</f>
        <v>3.205064901443875</v>
      </c>
      <c r="DF53" s="151" t="e">
        <f>TALLERES!DF13/TALLERES!DF18</f>
        <v>#DIV/0!</v>
      </c>
      <c r="DG53" s="151">
        <f>TALLERES!DG13/TALLERES!DG18</f>
        <v>8.00000128095583</v>
      </c>
      <c r="DH53" s="151" t="e">
        <f>TALLERES!DH13/TALLERES!DH18</f>
        <v>#DIV/0!</v>
      </c>
      <c r="DI53" s="151">
        <f>TALLERES!DI13/TALLERES!DI18</f>
        <v>6.165099268547544</v>
      </c>
      <c r="DJ53" s="151" t="e">
        <f>TALLERES!DJ13/TALLERES!DJ18</f>
        <v>#DIV/0!</v>
      </c>
      <c r="DK53" s="151">
        <f>TALLERES!DK13/TALLERES!DK18</f>
        <v>37.13582275890299</v>
      </c>
    </row>
    <row r="54" spans="1:115" s="1" customFormat="1" ht="12.75">
      <c r="A54" s="55" t="s">
        <v>62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</row>
    <row r="55" spans="1:115" s="1" customFormat="1" ht="12.75">
      <c r="A55" s="57" t="s">
        <v>67</v>
      </c>
      <c r="B55" s="52">
        <f>TALLERES!B24/TALLERES!B13</f>
        <v>0.42273529968590745</v>
      </c>
      <c r="C55" s="52">
        <f>TALLERES!C24/TALLERES!C13</f>
        <v>0.4562020973363747</v>
      </c>
      <c r="D55" s="52">
        <f>TALLERES!D24/TALLERES!D13</f>
        <v>0.44150436827078965</v>
      </c>
      <c r="E55" s="52">
        <f>TALLERES!E24/TALLERES!E13</f>
        <v>0.4283938947237461</v>
      </c>
      <c r="F55" s="52">
        <f>TALLERES!F24/TALLERES!F13</f>
        <v>0.8279514538230998</v>
      </c>
      <c r="G55" s="52">
        <f>TALLERES!G24/TALLERES!G13</f>
        <v>0.9056444320758259</v>
      </c>
      <c r="H55" s="52">
        <f>TALLERES!H24/TALLERES!H13</f>
        <v>0.5708086580319556</v>
      </c>
      <c r="I55" s="52">
        <f>TALLERES!I24/TALLERES!I13</f>
        <v>0.5511769763967257</v>
      </c>
      <c r="J55" s="52">
        <f>TALLERES!J24/TALLERES!J13</f>
        <v>0.4170464143231439</v>
      </c>
      <c r="K55" s="52">
        <f>TALLERES!K24/TALLERES!K13</f>
        <v>0.3955998420720561</v>
      </c>
      <c r="L55" s="52">
        <f>TALLERES!L24/TALLERES!L13</f>
        <v>0.4365481313003203</v>
      </c>
      <c r="M55" s="52">
        <f>TALLERES!M24/TALLERES!M13</f>
        <v>0.44561744283138677</v>
      </c>
      <c r="N55" s="52">
        <f>TALLERES!N24/TALLERES!N13</f>
        <v>0.8006211748119239</v>
      </c>
      <c r="O55" s="52">
        <f>TALLERES!O24/TALLERES!O13</f>
        <v>0.8906966143252101</v>
      </c>
      <c r="P55" s="52">
        <f>TALLERES!P24/TALLERES!P13</f>
        <v>0.7786901636604038</v>
      </c>
      <c r="Q55" s="52">
        <f>TALLERES!Q24/TALLERES!Q13</f>
        <v>0.7751471251061046</v>
      </c>
      <c r="R55" s="52">
        <f>TALLERES!R24/TALLERES!R13</f>
        <v>0.6870060204347768</v>
      </c>
      <c r="S55" s="52">
        <f>TALLERES!S24/TALLERES!S13</f>
        <v>0.8710385157617941</v>
      </c>
      <c r="T55" s="52">
        <f>TALLERES!T24/TALLERES!T13</f>
        <v>0.9998163893958153</v>
      </c>
      <c r="U55" s="52">
        <f>TALLERES!U24/TALLERES!U13</f>
        <v>0.9998944879222866</v>
      </c>
      <c r="V55" s="52">
        <f>TALLERES!V24/TALLERES!V13</f>
        <v>0.4727435009176326</v>
      </c>
      <c r="W55" s="52">
        <f>TALLERES!W24/TALLERES!W13</f>
        <v>0.35465257314004317</v>
      </c>
      <c r="X55" s="52">
        <f>TALLERES!X24/TALLERES!X13</f>
        <v>0.8450919032222747</v>
      </c>
      <c r="Y55" s="52">
        <f>TALLERES!Y24/TALLERES!Y13</f>
        <v>0.8413510053830755</v>
      </c>
      <c r="Z55" s="52">
        <f>TALLERES!Z24/TALLERES!Z13</f>
        <v>0.7534395996141997</v>
      </c>
      <c r="AA55" s="52">
        <f>TALLERES!AA24/TALLERES!AA13</f>
        <v>0.7933317899110618</v>
      </c>
      <c r="AB55" s="52">
        <f>TALLERES!AB24/TALLERES!AB13</f>
        <v>0.8769726764153779</v>
      </c>
      <c r="AC55" s="52">
        <f>TALLERES!AC24/TALLERES!AC13</f>
        <v>0.8768927541468009</v>
      </c>
      <c r="AD55" s="52">
        <f>TALLERES!AD24/TALLERES!AD13</f>
        <v>0.8861988461295898</v>
      </c>
      <c r="AE55" s="52">
        <f>TALLERES!AE24/TALLERES!AE13</f>
        <v>0.892059111720126</v>
      </c>
      <c r="AF55" s="52">
        <f>TALLERES!AF24/TALLERES!AF13</f>
        <v>0.5817394162047584</v>
      </c>
      <c r="AG55" s="52">
        <f>TALLERES!AG24/TALLERES!AG13</f>
        <v>0.6819620371566362</v>
      </c>
      <c r="AH55" s="52">
        <f>TALLERES!AH24/TALLERES!AH13</f>
        <v>0.336347338097208</v>
      </c>
      <c r="AI55" s="52">
        <f>TALLERES!AI24/TALLERES!AI13</f>
        <v>0.19792317363496592</v>
      </c>
      <c r="AJ55" s="52">
        <f>TALLERES!AJ24/TALLERES!AJ13</f>
        <v>0.4784064034807677</v>
      </c>
      <c r="AK55" s="52" t="e">
        <f>TALLERES!AK24/TALLERES!AK13</f>
        <v>#DIV/0!</v>
      </c>
      <c r="AL55" s="52">
        <f>TALLERES!AL24/TALLERES!AL13</f>
        <v>0.4962325724859213</v>
      </c>
      <c r="AM55" s="52">
        <f>TALLERES!AM24/TALLERES!AM13</f>
        <v>0.3623991249623488</v>
      </c>
      <c r="AN55" s="52">
        <f>TALLERES!AN24/TALLERES!AN13</f>
        <v>0.8583983706294885</v>
      </c>
      <c r="AO55" s="52">
        <f>TALLERES!AO24/TALLERES!AO13</f>
        <v>0.9198148239907507</v>
      </c>
      <c r="AP55" s="52">
        <f>TALLERES!AP24/TALLERES!AP13</f>
        <v>0.9953668492717194</v>
      </c>
      <c r="AQ55" s="52">
        <f>TALLERES!AQ24/TALLERES!AQ13</f>
        <v>0.9909663484885037</v>
      </c>
      <c r="AR55" s="52">
        <f>TALLERES!AR24/TALLERES!AR13</f>
        <v>0.6343479106862215</v>
      </c>
      <c r="AS55" s="52">
        <f>TALLERES!AS24/TALLERES!AS13</f>
        <v>0.5622582871455588</v>
      </c>
      <c r="AT55" s="52">
        <f>TALLERES!AT24/TALLERES!AT13</f>
        <v>0.9660652496053812</v>
      </c>
      <c r="AU55" s="52">
        <f>TALLERES!AU24/TALLERES!AU13</f>
        <v>0.6959906489220286</v>
      </c>
      <c r="AV55" s="52">
        <f>TALLERES!AV24/TALLERES!AV13</f>
        <v>0.6432505475934551</v>
      </c>
      <c r="AW55" s="52" t="e">
        <f>TALLERES!AW24/TALLERES!AW13</f>
        <v>#DIV/0!</v>
      </c>
      <c r="AX55" s="52">
        <f>TALLERES!AX24/TALLERES!AX13</f>
        <v>0.9399742361598299</v>
      </c>
      <c r="AY55" s="52">
        <f>TALLERES!AY24/TALLERES!AY13</f>
        <v>0.8655828686988797</v>
      </c>
      <c r="AZ55" s="52">
        <f>TALLERES!AZ24/TALLERES!AZ13</f>
        <v>0.28129342693958065</v>
      </c>
      <c r="BA55" s="52">
        <f>TALLERES!BA24/TALLERES!BA13</f>
        <v>-0.4288342326291856</v>
      </c>
      <c r="BB55" s="52">
        <f>TALLERES!BB24/TALLERES!BB13</f>
        <v>0.3476877368655629</v>
      </c>
      <c r="BC55" s="52">
        <f>TALLERES!BC24/TALLERES!BC13</f>
        <v>0.37472957406097657</v>
      </c>
      <c r="BD55" s="52" t="e">
        <f>TALLERES!BD24/TALLERES!BD13</f>
        <v>#DIV/0!</v>
      </c>
      <c r="BE55" s="52">
        <f>TALLERES!BE24/TALLERES!BE13</f>
        <v>0.5023611918879767</v>
      </c>
      <c r="BF55" s="52" t="e">
        <f>TALLERES!BF24/TALLERES!BF13</f>
        <v>#DIV/0!</v>
      </c>
      <c r="BG55" s="52">
        <f>TALLERES!BG24/TALLERES!BG13</f>
        <v>0.6783268084458925</v>
      </c>
      <c r="BH55" s="52" t="e">
        <f>TALLERES!BH24/TALLERES!BH13</f>
        <v>#DIV/0!</v>
      </c>
      <c r="BI55" s="52">
        <f>TALLERES!BI24/TALLERES!BI13</f>
        <v>0.5147773012028518</v>
      </c>
      <c r="BJ55" s="52">
        <f>TALLERES!BJ24/TALLERES!BJ13</f>
        <v>0.24366707050887695</v>
      </c>
      <c r="BK55" s="52">
        <f>TALLERES!BK24/TALLERES!BK13</f>
        <v>0.278606107431122</v>
      </c>
      <c r="BL55" s="52">
        <f>TALLERES!BL24/TALLERES!BL13</f>
        <v>0.6555315444815583</v>
      </c>
      <c r="BM55" s="52">
        <f>TALLERES!BM24/TALLERES!BM13</f>
        <v>0.6848643632450304</v>
      </c>
      <c r="BN55" s="52" t="e">
        <f>TALLERES!BN24/TALLERES!BN13</f>
        <v>#DIV/0!</v>
      </c>
      <c r="BO55" s="52">
        <f>TALLERES!BO24/TALLERES!BO13</f>
        <v>0.8258745300997675</v>
      </c>
      <c r="BP55" s="52" t="e">
        <f>TALLERES!BP24/TALLERES!BP13</f>
        <v>#DIV/0!</v>
      </c>
      <c r="BQ55" s="52">
        <f>TALLERES!BQ24/TALLERES!BQ13</f>
        <v>0.6050400886795313</v>
      </c>
      <c r="BR55" s="52">
        <f>TALLERES!BR24/TALLERES!BR13</f>
        <v>0.7202165793254435</v>
      </c>
      <c r="BS55" s="52">
        <f>TALLERES!BS24/TALLERES!BS13</f>
        <v>0.5321058371495562</v>
      </c>
      <c r="BT55" s="52">
        <f>TALLERES!BT24/TALLERES!BT13</f>
        <v>0.6607332110700495</v>
      </c>
      <c r="BU55" s="52">
        <f>TALLERES!BU24/TALLERES!BU13</f>
        <v>0.6384526180572665</v>
      </c>
      <c r="BV55" s="52" t="e">
        <f>TALLERES!BV24/TALLERES!BV13</f>
        <v>#DIV/0!</v>
      </c>
      <c r="BW55" s="52">
        <f>TALLERES!BW24/TALLERES!BW13</f>
        <v>0.6303712199158135</v>
      </c>
      <c r="BX55" s="52" t="e">
        <f>TALLERES!BX24/TALLERES!BX13</f>
        <v>#DIV/0!</v>
      </c>
      <c r="BY55" s="52">
        <f>TALLERES!BY24/TALLERES!BY13</f>
        <v>0.8595710632841691</v>
      </c>
      <c r="BZ55" s="52">
        <f>TALLERES!BZ24/TALLERES!BZ13</f>
        <v>0.6206176730792565</v>
      </c>
      <c r="CA55" s="52">
        <f>TALLERES!CA24/TALLERES!CA13</f>
        <v>0.5565226609367112</v>
      </c>
      <c r="CB55" s="52">
        <f>TALLERES!CB24/TALLERES!CB13</f>
        <v>0.9502135676529017</v>
      </c>
      <c r="CC55" s="52">
        <f>TALLERES!CC24/TALLERES!CC13</f>
        <v>0.9493376707676582</v>
      </c>
      <c r="CD55" s="52" t="e">
        <f>TALLERES!CD24/TALLERES!CD13</f>
        <v>#DIV/0!</v>
      </c>
      <c r="CE55" s="52">
        <f>TALLERES!CE24/TALLERES!CE13</f>
        <v>0.5846482228354443</v>
      </c>
      <c r="CF55" s="52" t="e">
        <f>TALLERES!CF24/TALLERES!CF13</f>
        <v>#DIV/0!</v>
      </c>
      <c r="CG55" s="52">
        <f>TALLERES!CG24/TALLERES!CG13</f>
        <v>0.8561052690175134</v>
      </c>
      <c r="CH55" s="52" t="e">
        <f>TALLERES!CH24/TALLERES!CH13</f>
        <v>#DIV/0!</v>
      </c>
      <c r="CI55" s="52">
        <f>TALLERES!CI24/TALLERES!CI13</f>
        <v>0.8058026589626865</v>
      </c>
      <c r="CJ55" s="52" t="e">
        <f>TALLERES!CJ24/TALLERES!CJ13</f>
        <v>#DIV/0!</v>
      </c>
      <c r="CK55" s="52">
        <f>TALLERES!CK24/TALLERES!CK13</f>
        <v>0.9627156406362799</v>
      </c>
      <c r="CL55" s="52">
        <f>TALLERES!CL24/TALLERES!CL13</f>
        <v>0.773294734201683</v>
      </c>
      <c r="CM55" s="52">
        <f>TALLERES!CM24/TALLERES!CM13</f>
        <v>0.7586377440944106</v>
      </c>
      <c r="CN55" s="52" t="e">
        <f>TALLERES!CN24/TALLERES!CN13</f>
        <v>#DIV/0!</v>
      </c>
      <c r="CO55" s="52">
        <f>TALLERES!CO24/TALLERES!CO13</f>
        <v>0.7785696549154107</v>
      </c>
      <c r="CP55" s="52" t="e">
        <f>TALLERES!CP24/TALLERES!CP13</f>
        <v>#DIV/0!</v>
      </c>
      <c r="CQ55" s="52">
        <f>TALLERES!CQ24/TALLERES!CQ13</f>
        <v>0.6846516371958241</v>
      </c>
      <c r="CR55" s="52">
        <f>TALLERES!CR24/TALLERES!CR13</f>
        <v>0.6699162114359716</v>
      </c>
      <c r="CS55" s="52">
        <f>TALLERES!CS24/TALLERES!CS13</f>
        <v>0.9058906560833669</v>
      </c>
      <c r="CT55" s="52">
        <f>TALLERES!CT24/TALLERES!CT13</f>
        <v>0.8978251755917932</v>
      </c>
      <c r="CU55" s="52">
        <f>TALLERES!CU24/TALLERES!CU13</f>
        <v>0.9388658783601088</v>
      </c>
      <c r="CV55" s="52" t="e">
        <f>TALLERES!CV24/TALLERES!CV13</f>
        <v>#DIV/0!</v>
      </c>
      <c r="CW55" s="52">
        <f>TALLERES!CW24/TALLERES!CW13</f>
        <v>0.9629211329970929</v>
      </c>
      <c r="CX55" s="52" t="e">
        <f>TALLERES!CX24/TALLERES!CX13</f>
        <v>#DIV/0!</v>
      </c>
      <c r="CY55" s="52">
        <f>TALLERES!CY24/TALLERES!CY13</f>
        <v>0.5131023826860334</v>
      </c>
      <c r="CZ55" s="52">
        <f>TALLERES!CZ24/TALLERES!CZ13</f>
        <v>0.622284923341402</v>
      </c>
      <c r="DA55" s="52">
        <f>TALLERES!DA24/TALLERES!DA13</f>
        <v>0.7326903652890818</v>
      </c>
      <c r="DB55" s="52">
        <f>TALLERES!DB24/TALLERES!DB13</f>
        <v>0.8999495726323207</v>
      </c>
      <c r="DC55" s="52">
        <f>TALLERES!DC24/TALLERES!DC13</f>
        <v>0.7708209230883087</v>
      </c>
      <c r="DD55" s="52" t="e">
        <f>TALLERES!DD24/TALLERES!DD13</f>
        <v>#DIV/0!</v>
      </c>
      <c r="DE55" s="52">
        <f>TALLERES!DE24/TALLERES!DE13</f>
        <v>0.6879938376444413</v>
      </c>
      <c r="DF55" s="52" t="e">
        <f>TALLERES!DF24/TALLERES!DF13</f>
        <v>#DIV/0!</v>
      </c>
      <c r="DG55" s="52">
        <f>TALLERES!DG24/TALLERES!DG13</f>
        <v>0.8750000200149315</v>
      </c>
      <c r="DH55" s="52" t="e">
        <f>TALLERES!DH24/TALLERES!DH13</f>
        <v>#DIV/0!</v>
      </c>
      <c r="DI55" s="52">
        <f>TALLERES!DI24/TALLERES!DI13</f>
        <v>0.8377966101694916</v>
      </c>
      <c r="DJ55" s="52" t="e">
        <f>TALLERES!DJ24/TALLERES!DJ13</f>
        <v>#DIV/0!</v>
      </c>
      <c r="DK55" s="52">
        <f>TALLERES!DK24/TALLERES!DK13</f>
        <v>0.9730718232232983</v>
      </c>
    </row>
    <row r="56" spans="1:115" s="1" customFormat="1" ht="12.75">
      <c r="A56" s="55" t="s">
        <v>63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</row>
    <row r="57" spans="1:115" s="1" customFormat="1" ht="12.75">
      <c r="A57" s="57" t="s">
        <v>71</v>
      </c>
      <c r="B57" s="52">
        <f>TALLERES!B36/TALLERES!B28</f>
        <v>0.012825715612539897</v>
      </c>
      <c r="C57" s="52">
        <f>TALLERES!C36/TALLERES!C28</f>
        <v>0.0723161459707991</v>
      </c>
      <c r="D57" s="52">
        <f>TALLERES!D36/TALLERES!D28</f>
        <v>-0.33544517685596004</v>
      </c>
      <c r="E57" s="52">
        <f>TALLERES!E36/TALLERES!E28</f>
        <v>-0.14942657102247128</v>
      </c>
      <c r="F57" s="52">
        <f>TALLERES!F36/TALLERES!F28</f>
        <v>0.005320013206918012</v>
      </c>
      <c r="G57" s="52">
        <f>TALLERES!G36/TALLERES!G28</f>
        <v>0.04656909041442293</v>
      </c>
      <c r="H57" s="52">
        <f>TALLERES!H36/TALLERES!H28</f>
        <v>0.01707858376953021</v>
      </c>
      <c r="I57" s="52">
        <f>TALLERES!I36/TALLERES!I28</f>
        <v>0.03318507819080467</v>
      </c>
      <c r="J57" s="52">
        <f>TALLERES!J36/TALLERES!J28</f>
        <v>0.07360838427104485</v>
      </c>
      <c r="K57" s="52">
        <f>TALLERES!K36/TALLERES!K28</f>
        <v>0.13464564248720265</v>
      </c>
      <c r="L57" s="52">
        <f>TALLERES!L36/TALLERES!L28</f>
        <v>0.030916189622228522</v>
      </c>
      <c r="M57" s="52">
        <f>TALLERES!M36/TALLERES!M28</f>
        <v>0.09000710524757846</v>
      </c>
      <c r="N57" s="52">
        <f>TALLERES!N36/TALLERES!N28</f>
        <v>0.0224159807323779</v>
      </c>
      <c r="O57" s="52">
        <f>TALLERES!O36/TALLERES!O28</f>
        <v>0.0887264892267541</v>
      </c>
      <c r="P57" s="52">
        <f>TALLERES!P36/TALLERES!P28</f>
        <v>-1.3353173931207156</v>
      </c>
      <c r="Q57" s="52">
        <f>TALLERES!Q36/TALLERES!Q28</f>
        <v>0.6358980080707043</v>
      </c>
      <c r="R57" s="52">
        <f>TALLERES!R36/TALLERES!R28</f>
        <v>0.14001019854941962</v>
      </c>
      <c r="S57" s="52">
        <f>TALLERES!S36/TALLERES!S28</f>
        <v>0.04483596376606527</v>
      </c>
      <c r="T57" s="52">
        <f>TALLERES!T36/TALLERES!T28</f>
        <v>0.43583333333333335</v>
      </c>
      <c r="U57" s="52">
        <f>TALLERES!U36/TALLERES!U28</f>
        <v>0.48986784140969164</v>
      </c>
      <c r="V57" s="52">
        <f>TALLERES!V36/TALLERES!V28</f>
        <v>0.12866563934232958</v>
      </c>
      <c r="W57" s="52">
        <f>TALLERES!W36/TALLERES!W28</f>
        <v>-0.09798398765997078</v>
      </c>
      <c r="X57" s="52">
        <f>TALLERES!X36/TALLERES!X28</f>
        <v>0.49787697184979884</v>
      </c>
      <c r="Y57" s="52">
        <f>TALLERES!Y36/TALLERES!Y28</f>
        <v>0.3832045944468421</v>
      </c>
      <c r="Z57" s="52">
        <f>TALLERES!Z36/TALLERES!Z28</f>
        <v>0.04548633507603322</v>
      </c>
      <c r="AA57" s="52">
        <f>TALLERES!AA36/TALLERES!AA28</f>
        <v>0.14169836954559878</v>
      </c>
      <c r="AB57" s="52">
        <f>TALLERES!AB36/TALLERES!AB28</f>
        <v>0.14492853288491223</v>
      </c>
      <c r="AC57" s="52">
        <f>TALLERES!AC36/TALLERES!AC28</f>
        <v>0.08008052443036022</v>
      </c>
      <c r="AD57" s="52">
        <f>TALLERES!AD36/TALLERES!AD28</f>
        <v>0.11395657010915194</v>
      </c>
      <c r="AE57" s="52">
        <f>TALLERES!AE36/TALLERES!AE28</f>
        <v>0.1048980050068857</v>
      </c>
      <c r="AF57" s="52">
        <f>TALLERES!AF36/TALLERES!AF28</f>
        <v>0.08100431858216996</v>
      </c>
      <c r="AG57" s="52">
        <f>TALLERES!AG36/TALLERES!AG28</f>
        <v>0.049466427625036904</v>
      </c>
      <c r="AH57" s="52">
        <f>TALLERES!AH36/TALLERES!AH28</f>
        <v>0.22929072268603887</v>
      </c>
      <c r="AI57" s="52">
        <f>TALLERES!AI36/TALLERES!AI28</f>
        <v>0.10303311082970247</v>
      </c>
      <c r="AJ57" s="52">
        <f>TALLERES!AJ36/TALLERES!AJ28</f>
        <v>0.04298530453652826</v>
      </c>
      <c r="AK57" s="52" t="e">
        <f>TALLERES!AK36/TALLERES!AK28</f>
        <v>#DIV/0!</v>
      </c>
      <c r="AL57" s="52">
        <f>TALLERES!AL36/TALLERES!AL28</f>
        <v>0.09272820722240621</v>
      </c>
      <c r="AM57" s="52">
        <f>TALLERES!AM36/TALLERES!AM28</f>
        <v>0.05244034895437783</v>
      </c>
      <c r="AN57" s="52">
        <f>TALLERES!AN36/TALLERES!AN28</f>
        <v>0.21259052825830715</v>
      </c>
      <c r="AO57" s="52">
        <f>TALLERES!AO36/TALLERES!AO28</f>
        <v>0.1587215022749432</v>
      </c>
      <c r="AP57" s="52">
        <f>TALLERES!AP36/TALLERES!AP28</f>
        <v>0.13441701967505595</v>
      </c>
      <c r="AQ57" s="52">
        <f>TALLERES!AQ36/TALLERES!AQ28</f>
        <v>0.009077085462817365</v>
      </c>
      <c r="AR57" s="52">
        <f>TALLERES!AR36/TALLERES!AR28</f>
        <v>-0.5259743589743591</v>
      </c>
      <c r="AS57" s="52">
        <f>TALLERES!AS36/TALLERES!AS28</f>
        <v>0.16126336633663368</v>
      </c>
      <c r="AT57" s="52">
        <f>TALLERES!AT36/TALLERES!AT28</f>
        <v>-0.3215457938430382</v>
      </c>
      <c r="AU57" s="52">
        <f>TALLERES!AU36/TALLERES!AU28</f>
        <v>-0.34315</v>
      </c>
      <c r="AV57" s="52">
        <f>TALLERES!AV36/TALLERES!AV28</f>
        <v>0.15582867622787724</v>
      </c>
      <c r="AW57" s="52" t="e">
        <f>TALLERES!AW36/TALLERES!AW28</f>
        <v>#DIV/0!</v>
      </c>
      <c r="AX57" s="52">
        <f>TALLERES!AX36/TALLERES!AX28</f>
        <v>0.10340933767874583</v>
      </c>
      <c r="AY57" s="52">
        <f>TALLERES!AY36/TALLERES!AY28</f>
        <v>0.08774514625174577</v>
      </c>
      <c r="AZ57" s="52">
        <f>TALLERES!AZ36/TALLERES!AZ28</f>
        <v>-11.560454285714284</v>
      </c>
      <c r="BA57" s="52">
        <f>TALLERES!BA36/TALLERES!BA28</f>
        <v>-10.945514664719484</v>
      </c>
      <c r="BB57" s="52">
        <f>TALLERES!BB36/TALLERES!BB28</f>
        <v>0.11755400863061516</v>
      </c>
      <c r="BC57" s="52">
        <f>TALLERES!BC36/TALLERES!BC28</f>
        <v>0.12719323515380948</v>
      </c>
      <c r="BD57" s="52" t="e">
        <f>TALLERES!BD36/TALLERES!BD28</f>
        <v>#DIV/0!</v>
      </c>
      <c r="BE57" s="52">
        <f>TALLERES!BE36/TALLERES!BE28</f>
        <v>0.050034652662219965</v>
      </c>
      <c r="BF57" s="52" t="e">
        <f>TALLERES!BF36/TALLERES!BF28</f>
        <v>#DIV/0!</v>
      </c>
      <c r="BG57" s="52">
        <f>TALLERES!BG36/TALLERES!BG28</f>
        <v>0.3547546267020208</v>
      </c>
      <c r="BH57" s="52" t="e">
        <f>TALLERES!BH36/TALLERES!BH28</f>
        <v>#DIV/0!</v>
      </c>
      <c r="BI57" s="52">
        <f>TALLERES!BI36/TALLERES!BI28</f>
        <v>0.17043324811525062</v>
      </c>
      <c r="BJ57" s="52">
        <f>TALLERES!BJ36/TALLERES!BJ28</f>
        <v>-0.1527012095494379</v>
      </c>
      <c r="BK57" s="52">
        <f>TALLERES!BK36/TALLERES!BK28</f>
        <v>0.0839439158783191</v>
      </c>
      <c r="BL57" s="52">
        <f>TALLERES!BL36/TALLERES!BL28</f>
        <v>0.10229809348695895</v>
      </c>
      <c r="BM57" s="52">
        <f>TALLERES!BM36/TALLERES!BM28</f>
        <v>-0.2847350150957041</v>
      </c>
      <c r="BN57" s="52" t="e">
        <f>TALLERES!BN36/TALLERES!BN28</f>
        <v>#DIV/0!</v>
      </c>
      <c r="BO57" s="52">
        <f>TALLERES!BO36/TALLERES!BO28</f>
        <v>0.044248495039556114</v>
      </c>
      <c r="BP57" s="52" t="e">
        <f>TALLERES!BP36/TALLERES!BP28</f>
        <v>#DIV/0!</v>
      </c>
      <c r="BQ57" s="52">
        <f>TALLERES!BQ36/TALLERES!BQ28</f>
        <v>0.3008995203031516</v>
      </c>
      <c r="BR57" s="52">
        <f>TALLERES!BR36/TALLERES!BR28</f>
        <v>0.14412148035242572</v>
      </c>
      <c r="BS57" s="52">
        <f>TALLERES!BS36/TALLERES!BS28</f>
        <v>0.07286036423814644</v>
      </c>
      <c r="BT57" s="52">
        <f>TALLERES!BT36/TALLERES!BT28</f>
        <v>0.12087912087912088</v>
      </c>
      <c r="BU57" s="52">
        <f>TALLERES!BU36/TALLERES!BU28</f>
        <v>0.07743067628534789</v>
      </c>
      <c r="BV57" s="52" t="e">
        <f>TALLERES!BV36/TALLERES!BV28</f>
        <v>#DIV/0!</v>
      </c>
      <c r="BW57" s="52">
        <f>TALLERES!BW36/TALLERES!BW28</f>
        <v>0.020226610317721272</v>
      </c>
      <c r="BX57" s="52" t="e">
        <f>TALLERES!BX36/TALLERES!BX28</f>
        <v>#DIV/0!</v>
      </c>
      <c r="BY57" s="52">
        <f>TALLERES!BY36/TALLERES!BY28</f>
        <v>0.23158005321307773</v>
      </c>
      <c r="BZ57" s="52">
        <f>TALLERES!BZ36/TALLERES!BZ28</f>
        <v>0.08683665645608638</v>
      </c>
      <c r="CA57" s="52">
        <f>TALLERES!CA36/TALLERES!CA28</f>
        <v>0.11448432860567331</v>
      </c>
      <c r="CB57" s="52">
        <f>TALLERES!CB36/TALLERES!CB28</f>
        <v>-0.08114820205159867</v>
      </c>
      <c r="CC57" s="52">
        <f>TALLERES!CC36/TALLERES!CC28</f>
        <v>0.10765439556512625</v>
      </c>
      <c r="CD57" s="52" t="e">
        <f>TALLERES!CD36/TALLERES!CD28</f>
        <v>#DIV/0!</v>
      </c>
      <c r="CE57" s="52">
        <f>TALLERES!CE36/TALLERES!CE28</f>
        <v>-0.00973736056581577</v>
      </c>
      <c r="CF57" s="52" t="e">
        <f>TALLERES!CF36/TALLERES!CF28</f>
        <v>#DIV/0!</v>
      </c>
      <c r="CG57" s="52">
        <f>TALLERES!CG36/TALLERES!CG28</f>
        <v>0.19455741728777434</v>
      </c>
      <c r="CH57" s="52" t="e">
        <f>TALLERES!CH36/TALLERES!CH28</f>
        <v>#DIV/0!</v>
      </c>
      <c r="CI57" s="52">
        <f>TALLERES!CI36/TALLERES!CI28</f>
        <v>-0.22316976985761644</v>
      </c>
      <c r="CJ57" s="52" t="e">
        <f>TALLERES!CJ36/TALLERES!CJ28</f>
        <v>#DIV/0!</v>
      </c>
      <c r="CK57" s="52">
        <f>TALLERES!CK36/TALLERES!CK28</f>
        <v>-1.769</v>
      </c>
      <c r="CL57" s="52">
        <f>TALLERES!CL36/TALLERES!CL28</f>
        <v>0.2369191830879891</v>
      </c>
      <c r="CM57" s="52">
        <f>TALLERES!CM36/TALLERES!CM28</f>
        <v>0.28165605291946383</v>
      </c>
      <c r="CN57" s="52" t="e">
        <f>TALLERES!CN36/TALLERES!CN28</f>
        <v>#DIV/0!</v>
      </c>
      <c r="CO57" s="52">
        <f>TALLERES!CO36/TALLERES!CO28</f>
        <v>0.11777051237584735</v>
      </c>
      <c r="CP57" s="52" t="e">
        <f>TALLERES!CP36/TALLERES!CP28</f>
        <v>#DIV/0!</v>
      </c>
      <c r="CQ57" s="52">
        <f>TALLERES!CQ36/TALLERES!CQ28</f>
        <v>0.13518353649309367</v>
      </c>
      <c r="CR57" s="52">
        <f>TALLERES!CR36/TALLERES!CR28</f>
        <v>0.1539556974164487</v>
      </c>
      <c r="CS57" s="52">
        <f>TALLERES!CS36/TALLERES!CS28</f>
        <v>0.07103187887735336</v>
      </c>
      <c r="CT57" s="52">
        <f>TALLERES!CT36/TALLERES!CT28</f>
        <v>0.13257056389308475</v>
      </c>
      <c r="CU57" s="52">
        <f>TALLERES!CU36/TALLERES!CU28</f>
        <v>0.06788980671529234</v>
      </c>
      <c r="CV57" s="52" t="e">
        <f>TALLERES!CV36/TALLERES!CV28</f>
        <v>#DIV/0!</v>
      </c>
      <c r="CW57" s="52">
        <f>TALLERES!CW36/TALLERES!CW28</f>
        <v>-1.1541862326506291</v>
      </c>
      <c r="CX57" s="52" t="e">
        <f>TALLERES!CX36/TALLERES!CX28</f>
        <v>#DIV/0!</v>
      </c>
      <c r="CY57" s="52">
        <f>TALLERES!CY36/TALLERES!CY28</f>
        <v>0.01098373175642129</v>
      </c>
      <c r="CZ57" s="52">
        <f>TALLERES!CZ36/TALLERES!CZ28</f>
        <v>0.08728789641618015</v>
      </c>
      <c r="DA57" s="52">
        <f>TALLERES!DA36/TALLERES!DA28</f>
        <v>0.09813908706572559</v>
      </c>
      <c r="DB57" s="52">
        <f>TALLERES!DB36/TALLERES!DB28</f>
        <v>0.23335945464715221</v>
      </c>
      <c r="DC57" s="52">
        <f>TALLERES!DC36/TALLERES!DC28</f>
        <v>0.4305998676262633</v>
      </c>
      <c r="DD57" s="52" t="e">
        <f>TALLERES!DD36/TALLERES!DD28</f>
        <v>#DIV/0!</v>
      </c>
      <c r="DE57" s="52" t="e">
        <f>TALLERES!DE36/TALLERES!DE28</f>
        <v>#DIV/0!</v>
      </c>
      <c r="DF57" s="52" t="e">
        <f>TALLERES!DF36/TALLERES!DF28</f>
        <v>#DIV/0!</v>
      </c>
      <c r="DG57" s="52">
        <f>TALLERES!DG36/TALLERES!DG28</f>
        <v>-0.03545813194297657</v>
      </c>
      <c r="DH57" s="52" t="e">
        <f>TALLERES!DH36/TALLERES!DH28</f>
        <v>#DIV/0!</v>
      </c>
      <c r="DI57" s="52">
        <f>TALLERES!DI36/TALLERES!DI28</f>
        <v>0.06666666666666667</v>
      </c>
      <c r="DJ57" s="52" t="e">
        <f>TALLERES!DJ36/TALLERES!DJ28</f>
        <v>#DIV/0!</v>
      </c>
      <c r="DK57" s="52">
        <f>TALLERES!DK36/TALLERES!DK28</f>
        <v>0.048581247638411575</v>
      </c>
    </row>
    <row r="58" spans="1:115" s="1" customFormat="1" ht="12.75">
      <c r="A58" s="57" t="s">
        <v>64</v>
      </c>
      <c r="B58" s="52">
        <f>TALLERES!B37/TALLERES!B30</f>
        <v>-0.0010877438202595952</v>
      </c>
      <c r="C58" s="52">
        <f>TALLERES!C37/TALLERES!C30</f>
        <v>0.04844137164217907</v>
      </c>
      <c r="D58" s="52">
        <f>TALLERES!D37/TALLERES!D30</f>
        <v>0.03893136914258042</v>
      </c>
      <c r="E58" s="52">
        <f>TALLERES!E37/TALLERES!E30</f>
        <v>0.03952579467822595</v>
      </c>
      <c r="F58" s="52">
        <f>TALLERES!F37/TALLERES!F30</f>
        <v>-0.012202004818103825</v>
      </c>
      <c r="G58" s="52">
        <f>TALLERES!G37/TALLERES!G30</f>
        <v>0.024098176030525872</v>
      </c>
      <c r="H58" s="52">
        <f>TALLERES!H37/TALLERES!H30</f>
        <v>0.02201683698398941</v>
      </c>
      <c r="I58" s="52">
        <f>TALLERES!I37/TALLERES!I30</f>
        <v>0.01891684883148438</v>
      </c>
      <c r="J58" s="52">
        <f>TALLERES!J37/TALLERES!J30</f>
        <v>0.005104043554588285</v>
      </c>
      <c r="K58" s="52">
        <f>TALLERES!K37/TALLERES!K30</f>
        <v>0.01347186008100407</v>
      </c>
      <c r="L58" s="52">
        <f>TALLERES!L37/TALLERES!L30</f>
        <v>0.018248811744425938</v>
      </c>
      <c r="M58" s="52">
        <f>TALLERES!M37/TALLERES!M30</f>
        <v>0.02861307009709692</v>
      </c>
      <c r="N58" s="52">
        <f>TALLERES!N37/TALLERES!N30</f>
        <v>0.004831346914365947</v>
      </c>
      <c r="O58" s="52">
        <f>TALLERES!O37/TALLERES!O30</f>
        <v>0.06398364092662681</v>
      </c>
      <c r="P58" s="52">
        <f>TALLERES!P37/TALLERES!P30</f>
        <v>0.013955965572992448</v>
      </c>
      <c r="Q58" s="52">
        <f>TALLERES!Q37/TALLERES!Q30</f>
        <v>0.044915552130665434</v>
      </c>
      <c r="R58" s="52">
        <f>TALLERES!R37/TALLERES!R30</f>
        <v>0.07515960676518366</v>
      </c>
      <c r="S58" s="52">
        <f>TALLERES!S37/TALLERES!S30</f>
        <v>0.026106723360768497</v>
      </c>
      <c r="T58" s="52">
        <f>TALLERES!T37/TALLERES!T30</f>
        <v>0.5036915504511895</v>
      </c>
      <c r="U58" s="52">
        <f>TALLERES!U37/TALLERES!U30</f>
        <v>0.46125211505922165</v>
      </c>
      <c r="V58" s="52">
        <f>TALLERES!V37/TALLERES!V30</f>
        <v>0.025757365658190333</v>
      </c>
      <c r="W58" s="52">
        <f>TALLERES!W37/TALLERES!W30</f>
        <v>0.0017290276390477316</v>
      </c>
      <c r="X58" s="52">
        <f>TALLERES!X37/TALLERES!X30</f>
        <v>0.16577380786080728</v>
      </c>
      <c r="Y58" s="52">
        <f>TALLERES!Y37/TALLERES!Y30</f>
        <v>0.3832045944468421</v>
      </c>
      <c r="Z58" s="52">
        <f>TALLERES!Z37/TALLERES!Z30</f>
        <v>0.045524810933669495</v>
      </c>
      <c r="AA58" s="52">
        <f>TALLERES!AA37/TALLERES!AA30</f>
        <v>0.0844179461701506</v>
      </c>
      <c r="AB58" s="52">
        <f>TALLERES!AB37/TALLERES!AB30</f>
        <v>0.10520074546519896</v>
      </c>
      <c r="AC58" s="52">
        <f>TALLERES!AC37/TALLERES!AC30</f>
        <v>0.07112894364898306</v>
      </c>
      <c r="AD58" s="52">
        <f>TALLERES!AD37/TALLERES!AD30</f>
        <v>0.0763509019731319</v>
      </c>
      <c r="AE58" s="52">
        <f>TALLERES!AE37/TALLERES!AE30</f>
        <v>0.07028166218150095</v>
      </c>
      <c r="AF58" s="52">
        <f>TALLERES!AF37/TALLERES!AF30</f>
        <v>0.0730647739363878</v>
      </c>
      <c r="AG58" s="52">
        <f>TALLERES!AG37/TALLERES!AG30</f>
        <v>0.060244049981328894</v>
      </c>
      <c r="AH58" s="52">
        <f>TALLERES!AH37/TALLERES!AH30</f>
        <v>0.15293270027306535</v>
      </c>
      <c r="AI58" s="52">
        <f>TALLERES!AI37/TALLERES!AI30</f>
        <v>0.06902287601656665</v>
      </c>
      <c r="AJ58" s="52">
        <f>TALLERES!AJ37/TALLERES!AJ30</f>
        <v>0.04298530453652826</v>
      </c>
      <c r="AK58" s="52" t="e">
        <f>TALLERES!AK37/TALLERES!AK30</f>
        <v>#DIV/0!</v>
      </c>
      <c r="AL58" s="52">
        <f>TALLERES!AL37/TALLERES!AL30</f>
        <v>0.050564082133157384</v>
      </c>
      <c r="AM58" s="52">
        <f>TALLERES!AM37/TALLERES!AM30</f>
        <v>0.006592131569327872</v>
      </c>
      <c r="AN58" s="52">
        <f>TALLERES!AN37/TALLERES!AN30</f>
        <v>0.1281754753726251</v>
      </c>
      <c r="AO58" s="52">
        <f>TALLERES!AO37/TALLERES!AO30</f>
        <v>0.09570906117972063</v>
      </c>
      <c r="AP58" s="52">
        <f>TALLERES!AP37/TALLERES!AP30</f>
        <v>0.13441701967505595</v>
      </c>
      <c r="AQ58" s="52">
        <f>TALLERES!AQ37/TALLERES!AQ30</f>
        <v>0.009077085462817365</v>
      </c>
      <c r="AR58" s="52">
        <f>TALLERES!AR37/TALLERES!AR30</f>
        <v>-0.5678294790072934</v>
      </c>
      <c r="AS58" s="52">
        <f>TALLERES!AS37/TALLERES!AS30</f>
        <v>0.089683320335184</v>
      </c>
      <c r="AT58" s="52">
        <f>TALLERES!AT37/TALLERES!AT30</f>
        <v>-0.37424703019944233</v>
      </c>
      <c r="AU58" s="52">
        <f>TALLERES!AU37/TALLERES!AU30</f>
        <v>-0.3715043074884029</v>
      </c>
      <c r="AV58" s="52">
        <f>TALLERES!AV37/TALLERES!AV30</f>
        <v>0.16320655088416</v>
      </c>
      <c r="AW58" s="52" t="e">
        <f>TALLERES!AW37/TALLERES!AW30</f>
        <v>#DIV/0!</v>
      </c>
      <c r="AX58" s="52">
        <f>TALLERES!AX37/TALLERES!AX30</f>
        <v>0.16608002741380262</v>
      </c>
      <c r="AY58" s="52">
        <f>TALLERES!AY37/TALLERES!AY30</f>
        <v>0.08774514625174577</v>
      </c>
      <c r="AZ58" s="52">
        <f>TALLERES!AZ37/TALLERES!AZ30</f>
        <v>0.0017010888694606403</v>
      </c>
      <c r="BA58" s="52">
        <f>TALLERES!BA37/TALLERES!BA30</f>
        <v>-1.8972001947182664</v>
      </c>
      <c r="BB58" s="52">
        <f>TALLERES!BB37/TALLERES!BB30</f>
        <v>0.11755400863061516</v>
      </c>
      <c r="BC58" s="52">
        <f>TALLERES!BC37/TALLERES!BC30</f>
        <v>0.08564390686795009</v>
      </c>
      <c r="BD58" s="52" t="e">
        <f>TALLERES!BD37/TALLERES!BD30</f>
        <v>#DIV/0!</v>
      </c>
      <c r="BE58" s="52">
        <f>TALLERES!BE37/TALLERES!BE30</f>
        <v>0.019918988051415933</v>
      </c>
      <c r="BF58" s="52" t="e">
        <f>TALLERES!BF37/TALLERES!BF30</f>
        <v>#DIV/0!</v>
      </c>
      <c r="BG58" s="52">
        <f>TALLERES!BG37/TALLERES!BG30</f>
        <v>0.20496901648409094</v>
      </c>
      <c r="BH58" s="52" t="e">
        <f>TALLERES!BH37/TALLERES!BH30</f>
        <v>#DIV/0!</v>
      </c>
      <c r="BI58" s="52">
        <f>TALLERES!BI37/TALLERES!BI30</f>
        <v>0.08647185655821098</v>
      </c>
      <c r="BJ58" s="52">
        <f>TALLERES!BJ37/TALLERES!BJ30</f>
        <v>-0.11430935597931337</v>
      </c>
      <c r="BK58" s="52">
        <f>TALLERES!BK37/TALLERES!BK30</f>
        <v>0.0569555864722664</v>
      </c>
      <c r="BL58" s="52">
        <f>TALLERES!BL37/TALLERES!BL30</f>
        <v>0.02209038304396365</v>
      </c>
      <c r="BM58" s="52">
        <f>TALLERES!BM37/TALLERES!BM30</f>
        <v>0.020839728224514454</v>
      </c>
      <c r="BN58" s="52" t="e">
        <f>TALLERES!BN37/TALLERES!BN30</f>
        <v>#DIV/0!</v>
      </c>
      <c r="BO58" s="52">
        <f>TALLERES!BO37/TALLERES!BO30</f>
        <v>0.015436465354587424</v>
      </c>
      <c r="BP58" s="52" t="e">
        <f>TALLERES!BP37/TALLERES!BP30</f>
        <v>#DIV/0!</v>
      </c>
      <c r="BQ58" s="52">
        <f>TALLERES!BQ37/TALLERES!BQ30</f>
        <v>0.24506829107872816</v>
      </c>
      <c r="BR58" s="52">
        <f>TALLERES!BR37/TALLERES!BR30</f>
        <v>0.06982185642300393</v>
      </c>
      <c r="BS58" s="52">
        <f>TALLERES!BS37/TALLERES!BS30</f>
        <v>0.011918113416848978</v>
      </c>
      <c r="BT58" s="52">
        <f>TALLERES!BT37/TALLERES!BT30</f>
        <v>0.12087912087912088</v>
      </c>
      <c r="BU58" s="52">
        <f>TALLERES!BU37/TALLERES!BU30</f>
        <v>0.07743067628534789</v>
      </c>
      <c r="BV58" s="52" t="e">
        <f>TALLERES!BV37/TALLERES!BV30</f>
        <v>#DIV/0!</v>
      </c>
      <c r="BW58" s="52">
        <f>TALLERES!BW37/TALLERES!BW30</f>
        <v>0.0023158090743830204</v>
      </c>
      <c r="BX58" s="52" t="e">
        <f>TALLERES!BX37/TALLERES!BX30</f>
        <v>#DIV/0!</v>
      </c>
      <c r="BY58" s="52">
        <f>TALLERES!BY37/TALLERES!BY30</f>
        <v>0.1902808267568582</v>
      </c>
      <c r="BZ58" s="52">
        <f>TALLERES!BZ37/TALLERES!BZ30</f>
        <v>1.000375894482234E-07</v>
      </c>
      <c r="CA58" s="52">
        <f>TALLERES!CA37/TALLERES!CA30</f>
        <v>0.06518843686556094</v>
      </c>
      <c r="CB58" s="52">
        <f>TALLERES!CB37/TALLERES!CB30</f>
        <v>0.07046724426566715</v>
      </c>
      <c r="CC58" s="52">
        <f>TALLERES!CC37/TALLERES!CC30</f>
        <v>0.09366195952008617</v>
      </c>
      <c r="CD58" s="52" t="e">
        <f>TALLERES!CD37/TALLERES!CD30</f>
        <v>#DIV/0!</v>
      </c>
      <c r="CE58" s="52">
        <f>TALLERES!CE37/TALLERES!CE30</f>
        <v>-0.00973736056581577</v>
      </c>
      <c r="CF58" s="52" t="e">
        <f>TALLERES!CF37/TALLERES!CF30</f>
        <v>#DIV/0!</v>
      </c>
      <c r="CG58" s="52">
        <f>TALLERES!CG37/TALLERES!CG30</f>
        <v>0.19455741728777434</v>
      </c>
      <c r="CH58" s="52" t="e">
        <f>TALLERES!CH37/TALLERES!CH30</f>
        <v>#DIV/0!</v>
      </c>
      <c r="CI58" s="52">
        <f>TALLERES!CI37/TALLERES!CI30</f>
        <v>-0.22878073654587391</v>
      </c>
      <c r="CJ58" s="52" t="e">
        <f>TALLERES!CJ37/TALLERES!CJ30</f>
        <v>#DIV/0!</v>
      </c>
      <c r="CK58" s="52">
        <f>TALLERES!CK37/TALLERES!CK30</f>
        <v>-1.769</v>
      </c>
      <c r="CL58" s="52">
        <f>TALLERES!CL37/TALLERES!CL30</f>
        <v>0.16373072957851043</v>
      </c>
      <c r="CM58" s="52">
        <f>TALLERES!CM37/TALLERES!CM30</f>
        <v>0.18993974178882528</v>
      </c>
      <c r="CN58" s="52" t="e">
        <f>TALLERES!CN37/TALLERES!CN30</f>
        <v>#DIV/0!</v>
      </c>
      <c r="CO58" s="52">
        <f>TALLERES!CO37/TALLERES!CO30</f>
        <v>0.11118199169688361</v>
      </c>
      <c r="CP58" s="52" t="e">
        <f>TALLERES!CP37/TALLERES!CP30</f>
        <v>#DIV/0!</v>
      </c>
      <c r="CQ58" s="52">
        <f>TALLERES!CQ37/TALLERES!CQ30</f>
        <v>0.07068424313915207</v>
      </c>
      <c r="CR58" s="52">
        <f>TALLERES!CR37/TALLERES!CR30</f>
        <v>0.07945909845702451</v>
      </c>
      <c r="CS58" s="52">
        <f>TALLERES!CS37/TALLERES!CS30</f>
        <v>0.004002600376371001</v>
      </c>
      <c r="CT58" s="52">
        <f>TALLERES!CT37/TALLERES!CT30</f>
        <v>0.12937286483105373</v>
      </c>
      <c r="CU58" s="52">
        <f>TALLERES!CU37/TALLERES!CU30</f>
        <v>0.06291175371093073</v>
      </c>
      <c r="CV58" s="52" t="e">
        <f>TALLERES!CV37/TALLERES!CV30</f>
        <v>#DIV/0!</v>
      </c>
      <c r="CW58" s="52">
        <f>TALLERES!CW37/TALLERES!CW30</f>
        <v>9.766770138395603E-06</v>
      </c>
      <c r="CX58" s="52" t="e">
        <f>TALLERES!CX37/TALLERES!CX30</f>
        <v>#DIV/0!</v>
      </c>
      <c r="CY58" s="52">
        <f>TALLERES!CY37/TALLERES!CY30</f>
        <v>0.01097875781686234</v>
      </c>
      <c r="CZ58" s="52">
        <f>TALLERES!CZ37/TALLERES!CZ30</f>
        <v>0.032819442734974266</v>
      </c>
      <c r="DA58" s="52">
        <f>TALLERES!DA37/TALLERES!DA30</f>
        <v>0.030653085122750532</v>
      </c>
      <c r="DB58" s="52">
        <f>TALLERES!DB37/TALLERES!DB30</f>
        <v>0.1492190181882225</v>
      </c>
      <c r="DC58" s="52">
        <f>TALLERES!DC37/TALLERES!DC30</f>
        <v>0.27298087131736715</v>
      </c>
      <c r="DD58" s="52" t="e">
        <f>TALLERES!DD37/TALLERES!DD30</f>
        <v>#DIV/0!</v>
      </c>
      <c r="DE58" s="52" t="e">
        <f>TALLERES!DE37/TALLERES!DE30</f>
        <v>#DIV/0!</v>
      </c>
      <c r="DF58" s="52" t="e">
        <f>TALLERES!DF37/TALLERES!DF30</f>
        <v>#DIV/0!</v>
      </c>
      <c r="DG58" s="52">
        <f>TALLERES!DG37/TALLERES!DG30</f>
        <v>-0.04548897343761009</v>
      </c>
      <c r="DH58" s="52" t="e">
        <f>TALLERES!DH37/TALLERES!DH30</f>
        <v>#DIV/0!</v>
      </c>
      <c r="DI58" s="52">
        <f>TALLERES!DI37/TALLERES!DI30</f>
        <v>0.04019999999999999</v>
      </c>
      <c r="DJ58" s="52" t="e">
        <f>TALLERES!DJ37/TALLERES!DJ30</f>
        <v>#DIV/0!</v>
      </c>
      <c r="DK58" s="52">
        <f>TALLERES!DK37/TALLERES!DK30</f>
        <v>0.02929449232596215</v>
      </c>
    </row>
    <row r="59" spans="1:115" s="1" customFormat="1" ht="12.75">
      <c r="A59" s="55" t="s">
        <v>65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</row>
    <row r="60" spans="1:115" s="1" customFormat="1" ht="13.5" thickBot="1">
      <c r="A60" s="59" t="s">
        <v>66</v>
      </c>
      <c r="B60" s="87">
        <f>TALLERES!B10-TALLERES!B15</f>
        <v>19087842.009279996</v>
      </c>
      <c r="C60" s="87">
        <f>TALLERES!C10-TALLERES!C15</f>
        <v>23353102.217000037</v>
      </c>
      <c r="D60" s="87">
        <f>TALLERES!D10-TALLERES!D15</f>
        <v>223913.215</v>
      </c>
      <c r="E60" s="87">
        <f>TALLERES!E10-TALLERES!E15</f>
        <v>168472.37800000003</v>
      </c>
      <c r="F60" s="87">
        <f>TALLERES!F10-TALLERES!F15</f>
        <v>16657.189000000002</v>
      </c>
      <c r="G60" s="87">
        <f>TALLERES!G10-TALLERES!G15</f>
        <v>8968.561</v>
      </c>
      <c r="H60" s="87">
        <f>TALLERES!H10-TALLERES!H15</f>
        <v>67245.04499999998</v>
      </c>
      <c r="I60" s="87">
        <f>TALLERES!I10-TALLERES!I15</f>
        <v>88100.218</v>
      </c>
      <c r="J60" s="87">
        <f>TALLERES!J10-TALLERES!J15</f>
        <v>957043.3459999999</v>
      </c>
      <c r="K60" s="87">
        <f>TALLERES!K10-TALLERES!K15</f>
        <v>1418625.5299999998</v>
      </c>
      <c r="L60" s="87">
        <f>TALLERES!L10-TALLERES!L15</f>
        <v>537548.509</v>
      </c>
      <c r="M60" s="87">
        <f>TALLERES!M10-TALLERES!M15</f>
        <v>452844.02300000004</v>
      </c>
      <c r="N60" s="87">
        <f>TALLERES!N10-TALLERES!N15</f>
        <v>341351.35400000005</v>
      </c>
      <c r="O60" s="87">
        <f>TALLERES!O10-TALLERES!O15</f>
        <v>426890.358</v>
      </c>
      <c r="P60" s="87">
        <f>TALLERES!P10-TALLERES!P15</f>
        <v>-75486.379</v>
      </c>
      <c r="Q60" s="87">
        <f>TALLERES!Q10-TALLERES!Q15</f>
        <v>-91755.015</v>
      </c>
      <c r="R60" s="87">
        <f>TALLERES!R10-TALLERES!R15</f>
        <v>705230.94</v>
      </c>
      <c r="S60" s="87">
        <f>TALLERES!S10-TALLERES!S15</f>
        <v>640001.398</v>
      </c>
      <c r="T60" s="87">
        <f>TALLERES!T10-TALLERES!T15</f>
        <v>99504.985</v>
      </c>
      <c r="U60" s="87">
        <f>TALLERES!U10-TALLERES!U15</f>
        <v>101140.585</v>
      </c>
      <c r="V60" s="87">
        <f>TALLERES!V10-TALLERES!V15</f>
        <v>115707.57699999999</v>
      </c>
      <c r="W60" s="87">
        <f>TALLERES!W10-TALLERES!W15</f>
        <v>6432.6479999999865</v>
      </c>
      <c r="X60" s="87">
        <f>TALLERES!X10-TALLERES!X15</f>
        <v>235349.25359000004</v>
      </c>
      <c r="Y60" s="87">
        <f>TALLERES!Y10-TALLERES!Y15</f>
        <v>345019.723</v>
      </c>
      <c r="Z60" s="87">
        <f>TALLERES!Z10-TALLERES!Z15</f>
        <v>73844.56115</v>
      </c>
      <c r="AA60" s="87">
        <f>TALLERES!AA10-TALLERES!AA15</f>
        <v>101295.88200000001</v>
      </c>
      <c r="AB60" s="87">
        <f>TALLERES!AB10-TALLERES!AB15</f>
        <v>1228463</v>
      </c>
      <c r="AC60" s="87">
        <f>TALLERES!AC10-TALLERES!AC15</f>
        <v>1241214</v>
      </c>
      <c r="AD60" s="87">
        <f>TALLERES!AD10-TALLERES!AD15</f>
        <v>75598.382</v>
      </c>
      <c r="AE60" s="87">
        <f>TALLERES!AE10-TALLERES!AE15</f>
        <v>72767.523</v>
      </c>
      <c r="AF60" s="87">
        <f>TALLERES!AF10-TALLERES!AF15</f>
        <v>565703.02268</v>
      </c>
      <c r="AG60" s="87">
        <f>TALLERES!AG10-TALLERES!AG15</f>
        <v>341260.375</v>
      </c>
      <c r="AH60" s="87">
        <f>TALLERES!AH10-TALLERES!AH15</f>
        <v>33930.933000000005</v>
      </c>
      <c r="AI60" s="87">
        <f>TALLERES!AI10-TALLERES!AI15</f>
        <v>-9674.036000000007</v>
      </c>
      <c r="AJ60" s="87">
        <f>TALLERES!AJ10-TALLERES!AJ15</f>
        <v>-28827.861650000094</v>
      </c>
      <c r="AK60" s="87">
        <f>TALLERES!AK10-TALLERES!AK15</f>
        <v>0</v>
      </c>
      <c r="AL60" s="87">
        <f>TALLERES!AL10-TALLERES!AL15</f>
        <v>318695.189</v>
      </c>
      <c r="AM60" s="87">
        <f>TALLERES!AM10-TALLERES!AM15</f>
        <v>500245.34400000004</v>
      </c>
      <c r="AN60" s="87">
        <f>TALLERES!AN10-TALLERES!AN15</f>
        <v>3769.8689999999997</v>
      </c>
      <c r="AO60" s="87">
        <f>TALLERES!AO10-TALLERES!AO15</f>
        <v>13762.847999999998</v>
      </c>
      <c r="AP60" s="87">
        <f>TALLERES!AP10-TALLERES!AP15</f>
        <v>92017.20486</v>
      </c>
      <c r="AQ60" s="87">
        <f>TALLERES!AQ10-TALLERES!AQ15</f>
        <v>92071.044</v>
      </c>
      <c r="AR60" s="87">
        <f>TALLERES!AR10-TALLERES!AR15</f>
        <v>40493.903999999995</v>
      </c>
      <c r="AS60" s="87">
        <f>TALLERES!AS10-TALLERES!AS15</f>
        <v>41985.28799999999</v>
      </c>
      <c r="AT60" s="87">
        <f>TALLERES!AT10-TALLERES!AT15</f>
        <v>106288.08284999999</v>
      </c>
      <c r="AU60" s="87">
        <f>TALLERES!AU10-TALLERES!AU15</f>
        <v>91101</v>
      </c>
      <c r="AV60" s="87">
        <f>TALLERES!AV10-TALLERES!AV15</f>
        <v>-36365.736999999994</v>
      </c>
      <c r="AW60" s="87">
        <f>TALLERES!AW10-TALLERES!AW15</f>
        <v>0</v>
      </c>
      <c r="AX60" s="87">
        <f>TALLERES!AX10-TALLERES!AX15</f>
        <v>42116.339</v>
      </c>
      <c r="AY60" s="87">
        <f>TALLERES!AY10-TALLERES!AY15</f>
        <v>56333.111999999994</v>
      </c>
      <c r="AZ60" s="87">
        <f>TALLERES!AZ10-TALLERES!AZ15</f>
        <v>-126689.15019999997</v>
      </c>
      <c r="BA60" s="87">
        <f>TALLERES!BA10-TALLERES!BA15</f>
        <v>-248053.622</v>
      </c>
      <c r="BB60" s="87">
        <f>TALLERES!BB10-TALLERES!BB15</f>
        <v>12898.426000000001</v>
      </c>
      <c r="BC60" s="87">
        <f>TALLERES!BC10-TALLERES!BC15</f>
        <v>18861.335</v>
      </c>
      <c r="BD60" s="87">
        <f>TALLERES!BD10-TALLERES!BD15</f>
        <v>0</v>
      </c>
      <c r="BE60" s="87">
        <f>TALLERES!BE10-TALLERES!BE15</f>
        <v>64984.34299999999</v>
      </c>
      <c r="BF60" s="87">
        <f>TALLERES!BF10-TALLERES!BF15</f>
        <v>0</v>
      </c>
      <c r="BG60" s="87">
        <f>TALLERES!BG10-TALLERES!BG15</f>
        <v>60301.53699999998</v>
      </c>
      <c r="BH60" s="87">
        <f>TALLERES!BH10-TALLERES!BH15</f>
        <v>0</v>
      </c>
      <c r="BI60" s="87">
        <f>TALLERES!BI10-TALLERES!BI15</f>
        <v>355560.33499999996</v>
      </c>
      <c r="BJ60" s="87">
        <f>TALLERES!BJ10-TALLERES!BJ15</f>
        <v>10748555.934999999</v>
      </c>
      <c r="BK60" s="87">
        <f>TALLERES!BK10-TALLERES!BK15</f>
        <v>12033273.886</v>
      </c>
      <c r="BL60" s="87">
        <f>TALLERES!BL10-TALLERES!BL15</f>
        <v>1837522</v>
      </c>
      <c r="BM60" s="87">
        <f>TALLERES!BM10-TALLERES!BM15</f>
        <v>1797504</v>
      </c>
      <c r="BN60" s="87">
        <f>TALLERES!BN10-TALLERES!BN15</f>
        <v>0</v>
      </c>
      <c r="BO60" s="87">
        <f>TALLERES!BO10-TALLERES!BO15</f>
        <v>103844.51000000001</v>
      </c>
      <c r="BP60" s="87">
        <f>TALLERES!BP10-TALLERES!BP15</f>
        <v>0</v>
      </c>
      <c r="BQ60" s="87">
        <f>TALLERES!BQ10-TALLERES!BQ15</f>
        <v>185159.62600000005</v>
      </c>
      <c r="BR60" s="87">
        <f>TALLERES!BR10-TALLERES!BR15</f>
        <v>209091.90399999998</v>
      </c>
      <c r="BS60" s="87">
        <f>TALLERES!BS10-TALLERES!BS15</f>
        <v>109382.199</v>
      </c>
      <c r="BT60" s="87">
        <f>TALLERES!BT10-TALLERES!BT15</f>
        <v>60307</v>
      </c>
      <c r="BU60" s="87">
        <f>TALLERES!BU10-TALLERES!BU15</f>
        <v>91762.22</v>
      </c>
      <c r="BV60" s="87">
        <f>TALLERES!BV10-TALLERES!BV15</f>
        <v>0</v>
      </c>
      <c r="BW60" s="87">
        <f>TALLERES!BW10-TALLERES!BW15</f>
        <v>228806.25500000006</v>
      </c>
      <c r="BX60" s="87">
        <f>TALLERES!BX10-TALLERES!BX15</f>
        <v>0</v>
      </c>
      <c r="BY60" s="87">
        <f>TALLERES!BY10-TALLERES!BY15</f>
        <v>82350.28300000001</v>
      </c>
      <c r="BZ60" s="87">
        <f>TALLERES!BZ10-TALLERES!BZ15</f>
        <v>84381.43599999999</v>
      </c>
      <c r="CA60" s="87">
        <f>TALLERES!CA10-TALLERES!CA15</f>
        <v>108071.606</v>
      </c>
      <c r="CB60" s="87">
        <f>TALLERES!CB10-TALLERES!CB15</f>
        <v>202302.435</v>
      </c>
      <c r="CC60" s="87">
        <f>TALLERES!CC10-TALLERES!CC15</f>
        <v>111826.457</v>
      </c>
      <c r="CD60" s="87">
        <f>TALLERES!CD10-TALLERES!CD15</f>
        <v>0</v>
      </c>
      <c r="CE60" s="87">
        <f>TALLERES!CE10-TALLERES!CE15</f>
        <v>6619</v>
      </c>
      <c r="CF60" s="87">
        <f>TALLERES!CF10-TALLERES!CF15</f>
        <v>0</v>
      </c>
      <c r="CG60" s="87">
        <f>TALLERES!CG10-TALLERES!CG15</f>
        <v>39356.634000000005</v>
      </c>
      <c r="CH60" s="87">
        <f>TALLERES!CH10-TALLERES!CH15</f>
        <v>0</v>
      </c>
      <c r="CI60" s="87">
        <f>TALLERES!CI10-TALLERES!CI15</f>
        <v>-889.1090000000004</v>
      </c>
      <c r="CJ60" s="87">
        <f>TALLERES!CJ10-TALLERES!CJ15</f>
        <v>0</v>
      </c>
      <c r="CK60" s="87">
        <f>TALLERES!CK10-TALLERES!CK15</f>
        <v>6433</v>
      </c>
      <c r="CL60" s="87">
        <f>TALLERES!CL10-TALLERES!CL15</f>
        <v>5500.159999999999</v>
      </c>
      <c r="CM60" s="87">
        <f>TALLERES!CM10-TALLERES!CM15</f>
        <v>7452.6219999999985</v>
      </c>
      <c r="CN60" s="87">
        <f>TALLERES!CN10-TALLERES!CN15</f>
        <v>0</v>
      </c>
      <c r="CO60" s="87">
        <f>TALLERES!CO10-TALLERES!CO15</f>
        <v>402684.47599999997</v>
      </c>
      <c r="CP60" s="87">
        <f>TALLERES!CP10-TALLERES!CP15</f>
        <v>0</v>
      </c>
      <c r="CQ60" s="87">
        <f>TALLERES!CQ10-TALLERES!CQ15</f>
        <v>353695.88499999995</v>
      </c>
      <c r="CR60" s="87">
        <f>TALLERES!CR10-TALLERES!CR15</f>
        <v>18401.252999999997</v>
      </c>
      <c r="CS60" s="87">
        <f>TALLERES!CS10-TALLERES!CS15</f>
        <v>306778.34699999995</v>
      </c>
      <c r="CT60" s="87">
        <f>TALLERES!CT10-TALLERES!CT15</f>
        <v>269914.845</v>
      </c>
      <c r="CU60" s="87">
        <f>TALLERES!CU10-TALLERES!CU15</f>
        <v>284176.559</v>
      </c>
      <c r="CV60" s="87">
        <f>TALLERES!CV10-TALLERES!CV15</f>
        <v>0</v>
      </c>
      <c r="CW60" s="87">
        <f>TALLERES!CW10-TALLERES!CW15</f>
        <v>236167</v>
      </c>
      <c r="CX60" s="87">
        <f>TALLERES!CX10-TALLERES!CX15</f>
        <v>0</v>
      </c>
      <c r="CY60" s="87">
        <f>TALLERES!CY10-TALLERES!CY15</f>
        <v>-44477.153999999995</v>
      </c>
      <c r="CZ60" s="87">
        <f>TALLERES!CZ10-TALLERES!CZ15</f>
        <v>3714.643</v>
      </c>
      <c r="DA60" s="87">
        <f>TALLERES!DA10-TALLERES!DA15</f>
        <v>3606.3680000000004</v>
      </c>
      <c r="DB60" s="87">
        <f>TALLERES!DB10-TALLERES!DB15</f>
        <v>22149.199</v>
      </c>
      <c r="DC60" s="87">
        <f>TALLERES!DC10-TALLERES!DC15</f>
        <v>133588.702</v>
      </c>
      <c r="DD60" s="87">
        <f>TALLERES!DD10-TALLERES!DD15</f>
        <v>0</v>
      </c>
      <c r="DE60" s="87">
        <f>TALLERES!DE10-TALLERES!DE15</f>
        <v>300057.076</v>
      </c>
      <c r="DF60" s="87">
        <f>TALLERES!DF10-TALLERES!DF15</f>
        <v>0</v>
      </c>
      <c r="DG60" s="87">
        <f>TALLERES!DG10-TALLERES!DG15</f>
        <v>55708.939</v>
      </c>
      <c r="DH60" s="87">
        <f>TALLERES!DH10-TALLERES!DH15</f>
        <v>0</v>
      </c>
      <c r="DI60" s="87">
        <f>TALLERES!DI10-TALLERES!DI15</f>
        <v>-112.80000000000001</v>
      </c>
      <c r="DJ60" s="87">
        <f>TALLERES!DJ10-TALLERES!DJ15</f>
        <v>0</v>
      </c>
      <c r="DK60" s="87">
        <f>TALLERES!DK10-TALLERES!DK15</f>
        <v>51518.915</v>
      </c>
    </row>
    <row r="61" s="1" customFormat="1" ht="12.75">
      <c r="A61" s="51" t="s">
        <v>100</v>
      </c>
    </row>
  </sheetData>
  <sheetProtection/>
  <mergeCells count="57">
    <mergeCell ref="CN6:CO6"/>
    <mergeCell ref="CP6:CQ6"/>
    <mergeCell ref="DH6:DI6"/>
    <mergeCell ref="DJ6:DK6"/>
    <mergeCell ref="CZ6:DA6"/>
    <mergeCell ref="CV6:CW6"/>
    <mergeCell ref="CX6:CY6"/>
    <mergeCell ref="DB6:DC6"/>
    <mergeCell ref="DF6:DG6"/>
    <mergeCell ref="B6:C6"/>
    <mergeCell ref="D6:E6"/>
    <mergeCell ref="F6:G6"/>
    <mergeCell ref="H6:I6"/>
    <mergeCell ref="X6:Y6"/>
    <mergeCell ref="AR6:AS6"/>
    <mergeCell ref="T6:U6"/>
    <mergeCell ref="AT6:AU6"/>
    <mergeCell ref="AH6:AI6"/>
    <mergeCell ref="AJ6:AK6"/>
    <mergeCell ref="AL6:AM6"/>
    <mergeCell ref="AN6:AO6"/>
    <mergeCell ref="V6:W6"/>
    <mergeCell ref="Z6:AA6"/>
    <mergeCell ref="J6:K6"/>
    <mergeCell ref="L6:M6"/>
    <mergeCell ref="N6:O6"/>
    <mergeCell ref="R6:S6"/>
    <mergeCell ref="P6:Q6"/>
    <mergeCell ref="BP6:BQ6"/>
    <mergeCell ref="BN6:BO6"/>
    <mergeCell ref="BH6:BI6"/>
    <mergeCell ref="BL6:BM6"/>
    <mergeCell ref="AP6:AQ6"/>
    <mergeCell ref="AB6:AC6"/>
    <mergeCell ref="AD6:AE6"/>
    <mergeCell ref="AF6:AG6"/>
    <mergeCell ref="BV6:BW6"/>
    <mergeCell ref="BR6:BS6"/>
    <mergeCell ref="BT6:BU6"/>
    <mergeCell ref="BX6:BY6"/>
    <mergeCell ref="CD6:CE6"/>
    <mergeCell ref="CF6:CG6"/>
    <mergeCell ref="BZ6:CA6"/>
    <mergeCell ref="DD6:DE6"/>
    <mergeCell ref="CH6:CI6"/>
    <mergeCell ref="CB6:CC6"/>
    <mergeCell ref="CR6:CS6"/>
    <mergeCell ref="CT6:CU6"/>
    <mergeCell ref="CJ6:CK6"/>
    <mergeCell ref="CL6:CM6"/>
    <mergeCell ref="AV6:AW6"/>
    <mergeCell ref="AX6:AY6"/>
    <mergeCell ref="BJ6:BK6"/>
    <mergeCell ref="AZ6:BA6"/>
    <mergeCell ref="BB6:BC6"/>
    <mergeCell ref="BD6:BE6"/>
    <mergeCell ref="BF6:BG6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>
    <tabColor indexed="45"/>
  </sheetPr>
  <dimension ref="A1:AT61"/>
  <sheetViews>
    <sheetView zoomScalePageLayoutView="0" workbookViewId="0" topLeftCell="A22">
      <selection activeCell="A40" sqref="A40"/>
    </sheetView>
  </sheetViews>
  <sheetFormatPr defaultColWidth="11.421875" defaultRowHeight="12.75"/>
  <cols>
    <col min="1" max="1" width="34.28125" style="0" customWidth="1"/>
    <col min="3" max="3" width="12.140625" style="0" customWidth="1"/>
    <col min="4" max="5" width="10.28125" style="0" bestFit="1" customWidth="1"/>
    <col min="10" max="10" width="13.8515625" style="0" customWidth="1"/>
    <col min="16" max="18" width="10.28125" style="0" bestFit="1" customWidth="1"/>
    <col min="19" max="19" width="7.7109375" style="0" customWidth="1"/>
    <col min="20" max="20" width="10.28125" style="0" bestFit="1" customWidth="1"/>
    <col min="21" max="21" width="11.28125" style="0" customWidth="1"/>
    <col min="23" max="23" width="7.140625" style="0" customWidth="1"/>
    <col min="24" max="25" width="8.7109375" style="0" bestFit="1" customWidth="1"/>
    <col min="26" max="26" width="10.28125" style="0" bestFit="1" customWidth="1"/>
    <col min="27" max="27" width="6.421875" style="0" customWidth="1"/>
    <col min="28" max="29" width="15.00390625" style="0" customWidth="1"/>
    <col min="46" max="46" width="11.7109375" style="130" bestFit="1" customWidth="1"/>
  </cols>
  <sheetData>
    <row r="1" ht="12.75">
      <c r="A1" s="16" t="s">
        <v>93</v>
      </c>
    </row>
    <row r="2" ht="12.75">
      <c r="A2" s="19" t="s">
        <v>98</v>
      </c>
    </row>
    <row r="3" ht="12.75">
      <c r="A3" s="16" t="s">
        <v>75</v>
      </c>
    </row>
    <row r="4" spans="1:33" ht="12.75">
      <c r="A4" s="16" t="s">
        <v>155</v>
      </c>
      <c r="AG4" s="83"/>
    </row>
    <row r="5" spans="1:45" ht="13.5" thickBot="1">
      <c r="A5" s="16" t="s">
        <v>74</v>
      </c>
      <c r="E5">
        <v>1</v>
      </c>
      <c r="G5">
        <v>2</v>
      </c>
      <c r="I5">
        <v>3</v>
      </c>
      <c r="K5">
        <v>4</v>
      </c>
      <c r="M5">
        <v>5</v>
      </c>
      <c r="O5">
        <v>6</v>
      </c>
      <c r="Q5">
        <v>7</v>
      </c>
      <c r="S5">
        <v>8</v>
      </c>
      <c r="U5">
        <v>9</v>
      </c>
      <c r="W5">
        <v>10</v>
      </c>
      <c r="Y5">
        <v>11</v>
      </c>
      <c r="Z5" s="129" t="s">
        <v>14</v>
      </c>
      <c r="AA5">
        <v>12</v>
      </c>
      <c r="AC5">
        <v>13</v>
      </c>
      <c r="AE5">
        <v>14</v>
      </c>
      <c r="AG5">
        <v>15</v>
      </c>
      <c r="AI5">
        <v>16</v>
      </c>
      <c r="AJ5" s="110" t="s">
        <v>45</v>
      </c>
      <c r="AK5">
        <v>17</v>
      </c>
      <c r="AM5">
        <v>18</v>
      </c>
      <c r="AO5">
        <v>19</v>
      </c>
      <c r="AQ5">
        <v>20</v>
      </c>
      <c r="AS5">
        <v>21</v>
      </c>
    </row>
    <row r="6" spans="1:46" s="18" customFormat="1" ht="25.5" customHeight="1">
      <c r="A6" s="73" t="s">
        <v>68</v>
      </c>
      <c r="B6" s="199" t="s">
        <v>19</v>
      </c>
      <c r="C6" s="200"/>
      <c r="D6" s="193" t="s">
        <v>142</v>
      </c>
      <c r="E6" s="194"/>
      <c r="F6" s="193" t="s">
        <v>124</v>
      </c>
      <c r="G6" s="194"/>
      <c r="H6" s="193" t="s">
        <v>143</v>
      </c>
      <c r="I6" s="194"/>
      <c r="J6" s="193" t="s">
        <v>13</v>
      </c>
      <c r="K6" s="194"/>
      <c r="L6" s="193" t="s">
        <v>144</v>
      </c>
      <c r="M6" s="194"/>
      <c r="N6" s="193" t="s">
        <v>15</v>
      </c>
      <c r="O6" s="194"/>
      <c r="P6" s="193" t="s">
        <v>145</v>
      </c>
      <c r="Q6" s="194"/>
      <c r="R6" s="199" t="s">
        <v>94</v>
      </c>
      <c r="S6" s="200"/>
      <c r="T6" s="193" t="s">
        <v>86</v>
      </c>
      <c r="U6" s="194"/>
      <c r="V6" s="199" t="s">
        <v>91</v>
      </c>
      <c r="W6" s="200"/>
      <c r="X6" s="193" t="s">
        <v>147</v>
      </c>
      <c r="Y6" s="194"/>
      <c r="Z6" s="201" t="s">
        <v>87</v>
      </c>
      <c r="AA6" s="202"/>
      <c r="AB6" s="193" t="s">
        <v>148</v>
      </c>
      <c r="AC6" s="194"/>
      <c r="AD6" s="193" t="s">
        <v>149</v>
      </c>
      <c r="AE6" s="194"/>
      <c r="AF6" s="193" t="s">
        <v>150</v>
      </c>
      <c r="AG6" s="194"/>
      <c r="AH6" s="193" t="s">
        <v>151</v>
      </c>
      <c r="AI6" s="194"/>
      <c r="AJ6" s="193" t="s">
        <v>44</v>
      </c>
      <c r="AK6" s="194"/>
      <c r="AL6" s="193" t="s">
        <v>46</v>
      </c>
      <c r="AM6" s="194"/>
      <c r="AN6" s="193" t="s">
        <v>129</v>
      </c>
      <c r="AO6" s="194"/>
      <c r="AP6" s="193" t="s">
        <v>130</v>
      </c>
      <c r="AQ6" s="194"/>
      <c r="AR6" s="193" t="s">
        <v>127</v>
      </c>
      <c r="AS6" s="203"/>
      <c r="AT6" s="131"/>
    </row>
    <row r="7" spans="1:46" s="18" customFormat="1" ht="13.5" thickBot="1">
      <c r="A7" s="74"/>
      <c r="B7" s="71">
        <v>2008</v>
      </c>
      <c r="C7" s="71">
        <v>2009</v>
      </c>
      <c r="D7" s="71">
        <v>2008</v>
      </c>
      <c r="E7" s="71">
        <v>2009</v>
      </c>
      <c r="F7" s="71">
        <v>2008</v>
      </c>
      <c r="G7" s="71">
        <v>2009</v>
      </c>
      <c r="H7" s="71">
        <v>2008</v>
      </c>
      <c r="I7" s="71">
        <v>2009</v>
      </c>
      <c r="J7" s="71">
        <v>2008</v>
      </c>
      <c r="K7" s="71">
        <v>2009</v>
      </c>
      <c r="L7" s="71">
        <v>2008</v>
      </c>
      <c r="M7" s="71">
        <v>2009</v>
      </c>
      <c r="N7" s="71">
        <v>2008</v>
      </c>
      <c r="O7" s="71">
        <v>2009</v>
      </c>
      <c r="P7" s="71">
        <v>2008</v>
      </c>
      <c r="Q7" s="71">
        <v>2009</v>
      </c>
      <c r="R7" s="71">
        <v>2008</v>
      </c>
      <c r="S7" s="71">
        <v>2009</v>
      </c>
      <c r="T7" s="71">
        <v>2008</v>
      </c>
      <c r="U7" s="71">
        <v>2009</v>
      </c>
      <c r="V7" s="71">
        <v>2008</v>
      </c>
      <c r="W7" s="71">
        <v>2009</v>
      </c>
      <c r="X7" s="71">
        <v>2008</v>
      </c>
      <c r="Y7" s="71">
        <v>2009</v>
      </c>
      <c r="Z7" s="71">
        <v>2008</v>
      </c>
      <c r="AA7" s="86">
        <v>2009</v>
      </c>
      <c r="AB7" s="86">
        <v>2008</v>
      </c>
      <c r="AC7" s="86">
        <v>2009</v>
      </c>
      <c r="AD7" s="86">
        <v>2008</v>
      </c>
      <c r="AE7" s="86">
        <v>2009</v>
      </c>
      <c r="AF7" s="86">
        <v>2008</v>
      </c>
      <c r="AG7" s="86">
        <v>2009</v>
      </c>
      <c r="AH7" s="86">
        <v>2008</v>
      </c>
      <c r="AI7" s="62">
        <v>2009</v>
      </c>
      <c r="AJ7" s="62">
        <v>2008</v>
      </c>
      <c r="AK7" s="62">
        <v>2009</v>
      </c>
      <c r="AL7" s="62">
        <v>2008</v>
      </c>
      <c r="AM7" s="62">
        <v>2009</v>
      </c>
      <c r="AN7" s="62">
        <v>2008</v>
      </c>
      <c r="AO7" s="62">
        <v>2009</v>
      </c>
      <c r="AP7" s="62">
        <v>2008</v>
      </c>
      <c r="AQ7" s="62">
        <v>2009</v>
      </c>
      <c r="AR7" s="62">
        <v>2008</v>
      </c>
      <c r="AS7" s="144">
        <v>2009</v>
      </c>
      <c r="AT7" s="131"/>
    </row>
    <row r="8" spans="1:45" ht="12.75">
      <c r="A8" s="69" t="s">
        <v>21</v>
      </c>
      <c r="B8" s="70"/>
      <c r="C8" s="70"/>
      <c r="D8" s="70"/>
      <c r="E8" s="112"/>
      <c r="F8" s="70"/>
      <c r="G8" s="112"/>
      <c r="H8" s="70"/>
      <c r="I8" s="112"/>
      <c r="J8" s="70"/>
      <c r="K8" s="112"/>
      <c r="L8" s="70"/>
      <c r="M8" s="112"/>
      <c r="N8" s="70"/>
      <c r="O8" s="112"/>
      <c r="P8" s="70"/>
      <c r="Q8" s="112"/>
      <c r="R8" s="70"/>
      <c r="S8" s="112"/>
      <c r="T8" s="70"/>
      <c r="U8" s="112"/>
      <c r="V8" s="70"/>
      <c r="W8" s="112"/>
      <c r="X8" s="70"/>
      <c r="Y8" s="119"/>
      <c r="Z8" s="81"/>
      <c r="AA8" s="107"/>
      <c r="AB8" s="61"/>
      <c r="AC8" s="107"/>
      <c r="AD8" s="61"/>
      <c r="AE8" s="107"/>
      <c r="AF8" s="61"/>
      <c r="AG8" s="107"/>
      <c r="AH8" s="61"/>
      <c r="AI8" s="112"/>
      <c r="AJ8" s="110"/>
      <c r="AK8" s="122"/>
      <c r="AL8" s="110"/>
      <c r="AM8" s="122"/>
      <c r="AN8" s="110"/>
      <c r="AO8" s="122"/>
      <c r="AP8" s="110"/>
      <c r="AQ8" s="122"/>
      <c r="AR8" s="110"/>
      <c r="AS8" s="145"/>
    </row>
    <row r="9" spans="1:45" ht="12.75">
      <c r="A9" s="66" t="s">
        <v>22</v>
      </c>
      <c r="B9" s="61"/>
      <c r="C9" s="61"/>
      <c r="D9" s="61"/>
      <c r="E9" s="107"/>
      <c r="F9" s="61"/>
      <c r="G9" s="107"/>
      <c r="H9" s="61"/>
      <c r="I9" s="107"/>
      <c r="J9" s="61"/>
      <c r="K9" s="107"/>
      <c r="L9" s="61"/>
      <c r="M9" s="107"/>
      <c r="N9" s="61"/>
      <c r="O9" s="107"/>
      <c r="P9" s="61"/>
      <c r="Q9" s="107"/>
      <c r="R9" s="61"/>
      <c r="S9" s="107"/>
      <c r="T9" s="61"/>
      <c r="U9" s="107"/>
      <c r="V9" s="61"/>
      <c r="W9" s="107"/>
      <c r="X9" s="61"/>
      <c r="Y9" s="120"/>
      <c r="Z9" s="82"/>
      <c r="AA9" s="107"/>
      <c r="AB9" s="61"/>
      <c r="AC9" s="107"/>
      <c r="AD9" s="61"/>
      <c r="AE9" s="107"/>
      <c r="AF9" s="61"/>
      <c r="AG9" s="107"/>
      <c r="AH9" s="61"/>
      <c r="AI9" s="107"/>
      <c r="AJ9" s="110"/>
      <c r="AK9" s="122"/>
      <c r="AL9" s="110"/>
      <c r="AM9" s="122"/>
      <c r="AN9" s="110"/>
      <c r="AO9" s="122"/>
      <c r="AP9" s="110"/>
      <c r="AQ9" s="122"/>
      <c r="AR9" s="110"/>
      <c r="AS9" s="145"/>
    </row>
    <row r="10" spans="1:45" ht="12.75">
      <c r="A10" s="65" t="s">
        <v>23</v>
      </c>
      <c r="B10" s="63">
        <f aca="true" t="shared" si="0" ref="B10:C12">+D10+F10+H10+J10+L10+N10+P10+R10+T10+V10+X10+Z10+AB10+AD10+AF10+AH10+AJ10+AL10+AN10+AP10+AR10</f>
        <v>27270598.45307</v>
      </c>
      <c r="C10" s="63">
        <f t="shared" si="0"/>
        <v>37632427.320999995</v>
      </c>
      <c r="D10" s="63">
        <v>1862053</v>
      </c>
      <c r="E10" s="113">
        <v>2256668</v>
      </c>
      <c r="F10" s="63">
        <v>9762.72038</v>
      </c>
      <c r="G10" s="113">
        <v>17642.582</v>
      </c>
      <c r="H10" s="63">
        <f>10875.615+248785.489</f>
        <v>259661.104</v>
      </c>
      <c r="I10" s="113">
        <f>19361.558+125387.582</f>
        <v>144749.13999999998</v>
      </c>
      <c r="J10" s="63">
        <v>759989</v>
      </c>
      <c r="K10" s="113">
        <v>728594</v>
      </c>
      <c r="L10" s="63">
        <v>485294.52689</v>
      </c>
      <c r="M10" s="113">
        <v>659209.075</v>
      </c>
      <c r="N10" s="63">
        <v>2850686.883</v>
      </c>
      <c r="O10" s="113">
        <v>3558464.549</v>
      </c>
      <c r="P10" s="63">
        <v>1124662.8748</v>
      </c>
      <c r="Q10" s="113">
        <f>110637.515+310810.305+652397.514</f>
        <v>1073845.334</v>
      </c>
      <c r="R10" s="63">
        <v>558268</v>
      </c>
      <c r="S10" s="113">
        <v>0</v>
      </c>
      <c r="T10" s="63">
        <v>4694283</v>
      </c>
      <c r="U10" s="113">
        <v>9391822</v>
      </c>
      <c r="V10" s="63">
        <v>3075887</v>
      </c>
      <c r="W10" s="113">
        <v>0</v>
      </c>
      <c r="X10" s="63">
        <v>133934</v>
      </c>
      <c r="Y10" s="113">
        <v>190176.22</v>
      </c>
      <c r="Z10" s="93">
        <v>4096</v>
      </c>
      <c r="AA10" s="113">
        <v>0</v>
      </c>
      <c r="AB10" s="63">
        <v>0</v>
      </c>
      <c r="AC10" s="113">
        <v>563679.169</v>
      </c>
      <c r="AD10" s="63">
        <v>17604.602</v>
      </c>
      <c r="AE10" s="113">
        <v>103715.476</v>
      </c>
      <c r="AF10" s="63">
        <v>0</v>
      </c>
      <c r="AG10" s="113">
        <v>983133</v>
      </c>
      <c r="AH10" s="63">
        <v>0</v>
      </c>
      <c r="AI10" s="113">
        <v>139553.154</v>
      </c>
      <c r="AJ10" s="63">
        <v>5125516</v>
      </c>
      <c r="AK10" s="113">
        <v>4825165</v>
      </c>
      <c r="AL10" s="63">
        <v>2799953.76</v>
      </c>
      <c r="AM10" s="113">
        <v>3024129.769</v>
      </c>
      <c r="AN10" s="63">
        <v>1318676.586</v>
      </c>
      <c r="AO10" s="113">
        <v>3634074.162</v>
      </c>
      <c r="AP10" s="63">
        <v>2190269.396</v>
      </c>
      <c r="AQ10" s="113">
        <v>4844872.691</v>
      </c>
      <c r="AR10" s="63">
        <v>0</v>
      </c>
      <c r="AS10" s="146">
        <v>1492934</v>
      </c>
    </row>
    <row r="11" spans="1:45" ht="12.75">
      <c r="A11" s="65" t="s">
        <v>24</v>
      </c>
      <c r="B11" s="63">
        <f t="shared" si="0"/>
        <v>9200146.91181</v>
      </c>
      <c r="C11" s="63">
        <f t="shared" si="0"/>
        <v>11472951.565000001</v>
      </c>
      <c r="D11" s="63">
        <v>764418</v>
      </c>
      <c r="E11" s="113">
        <v>756112</v>
      </c>
      <c r="F11" s="63">
        <v>91031.286</v>
      </c>
      <c r="G11" s="113">
        <v>68031.286</v>
      </c>
      <c r="H11" s="63">
        <v>88169.051</v>
      </c>
      <c r="I11" s="113">
        <v>86280.39</v>
      </c>
      <c r="J11" s="63">
        <f>139620-20235</f>
        <v>119385</v>
      </c>
      <c r="K11" s="113">
        <f>86231-20235</f>
        <v>65996</v>
      </c>
      <c r="L11" s="63">
        <v>591264.99966</v>
      </c>
      <c r="M11" s="113">
        <v>700306.269</v>
      </c>
      <c r="N11" s="63">
        <v>1165179.841</v>
      </c>
      <c r="O11" s="113">
        <v>2226665.768</v>
      </c>
      <c r="P11" s="63">
        <v>12064.24015</v>
      </c>
      <c r="Q11" s="113">
        <v>24754.516</v>
      </c>
      <c r="R11" s="63">
        <v>532871</v>
      </c>
      <c r="S11" s="113">
        <v>0</v>
      </c>
      <c r="T11" s="63">
        <v>1233064.323</v>
      </c>
      <c r="U11" s="113">
        <v>672753</v>
      </c>
      <c r="V11" s="63">
        <v>0</v>
      </c>
      <c r="W11" s="113">
        <v>0</v>
      </c>
      <c r="X11" s="63">
        <v>50604</v>
      </c>
      <c r="Y11" s="113">
        <v>39422</v>
      </c>
      <c r="Z11" s="93">
        <v>0</v>
      </c>
      <c r="AA11" s="113">
        <v>0</v>
      </c>
      <c r="AB11" s="63">
        <v>0</v>
      </c>
      <c r="AC11" s="113">
        <v>22804.477</v>
      </c>
      <c r="AD11" s="63">
        <v>2017.45</v>
      </c>
      <c r="AE11" s="113">
        <v>3511.622</v>
      </c>
      <c r="AF11" s="63">
        <v>0</v>
      </c>
      <c r="AG11" s="113">
        <v>1743070</v>
      </c>
      <c r="AH11" s="63">
        <v>0</v>
      </c>
      <c r="AI11" s="113">
        <v>101621.348</v>
      </c>
      <c r="AJ11" s="63">
        <v>1942897</v>
      </c>
      <c r="AK11" s="113">
        <v>1624636</v>
      </c>
      <c r="AL11" s="63">
        <v>1856736.553</v>
      </c>
      <c r="AM11" s="113">
        <v>1680318.175</v>
      </c>
      <c r="AN11" s="63">
        <v>72143.295</v>
      </c>
      <c r="AO11" s="113">
        <v>52040.775</v>
      </c>
      <c r="AP11" s="63">
        <v>678300.873</v>
      </c>
      <c r="AQ11" s="113">
        <v>1523164.939</v>
      </c>
      <c r="AR11" s="63">
        <v>0</v>
      </c>
      <c r="AS11" s="146">
        <v>81463</v>
      </c>
    </row>
    <row r="12" spans="1:45" ht="12.75">
      <c r="A12" s="65" t="s">
        <v>25</v>
      </c>
      <c r="B12" s="63">
        <f t="shared" si="0"/>
        <v>3489300.7429999993</v>
      </c>
      <c r="C12" s="63">
        <f t="shared" si="0"/>
        <v>3539489.853</v>
      </c>
      <c r="D12" s="63">
        <f>1+45706</f>
        <v>45707</v>
      </c>
      <c r="E12" s="113">
        <v>36026</v>
      </c>
      <c r="F12" s="63">
        <v>0</v>
      </c>
      <c r="G12" s="113">
        <v>0</v>
      </c>
      <c r="H12" s="63">
        <v>30469.943</v>
      </c>
      <c r="I12" s="113">
        <v>30469.943</v>
      </c>
      <c r="J12" s="63">
        <f>234697+808396</f>
        <v>1043093</v>
      </c>
      <c r="K12" s="113">
        <f>234697+808396</f>
        <v>1043093</v>
      </c>
      <c r="L12" s="63">
        <v>3400.251</v>
      </c>
      <c r="M12" s="113">
        <v>11404.566</v>
      </c>
      <c r="N12" s="63">
        <f>43401.405+1270253.795</f>
        <v>1313655.2</v>
      </c>
      <c r="O12" s="113">
        <f>40923.686+1771858.661</f>
        <v>1812782.347</v>
      </c>
      <c r="P12" s="63">
        <v>2954.8</v>
      </c>
      <c r="Q12" s="113">
        <v>5696.194</v>
      </c>
      <c r="R12" s="63">
        <f>650756+233984+47347</f>
        <v>932087</v>
      </c>
      <c r="S12" s="113">
        <v>0</v>
      </c>
      <c r="T12" s="63">
        <v>0</v>
      </c>
      <c r="U12" s="113">
        <v>0</v>
      </c>
      <c r="V12" s="63">
        <v>0</v>
      </c>
      <c r="W12" s="113">
        <v>0</v>
      </c>
      <c r="X12" s="63">
        <v>32480</v>
      </c>
      <c r="Y12" s="113">
        <v>42604</v>
      </c>
      <c r="Z12" s="93">
        <v>0</v>
      </c>
      <c r="AA12" s="113">
        <v>0</v>
      </c>
      <c r="AB12" s="63">
        <v>0</v>
      </c>
      <c r="AC12" s="113">
        <v>136237.679</v>
      </c>
      <c r="AD12" s="63">
        <v>0</v>
      </c>
      <c r="AE12" s="113">
        <v>0</v>
      </c>
      <c r="AF12" s="63">
        <v>0</v>
      </c>
      <c r="AG12" s="113">
        <f>342015+980</f>
        <v>342995</v>
      </c>
      <c r="AH12" s="63">
        <v>0</v>
      </c>
      <c r="AI12" s="113">
        <v>551.915</v>
      </c>
      <c r="AJ12" s="63">
        <v>25494</v>
      </c>
      <c r="AK12" s="113">
        <v>36402</v>
      </c>
      <c r="AL12" s="63">
        <v>0</v>
      </c>
      <c r="AM12" s="113">
        <v>0</v>
      </c>
      <c r="AN12" s="63">
        <v>14385.218</v>
      </c>
      <c r="AO12" s="113">
        <v>14385.218</v>
      </c>
      <c r="AP12" s="63">
        <v>45574.331</v>
      </c>
      <c r="AQ12" s="113">
        <v>26841.991</v>
      </c>
      <c r="AR12" s="63">
        <v>0</v>
      </c>
      <c r="AS12" s="146">
        <v>0</v>
      </c>
    </row>
    <row r="13" spans="1:46" s="16" customFormat="1" ht="12.75">
      <c r="A13" s="66" t="s">
        <v>26</v>
      </c>
      <c r="B13" s="64">
        <f>SUM(B10:B12)</f>
        <v>39960046.10788</v>
      </c>
      <c r="C13" s="64">
        <f>SUM(C10:C12)</f>
        <v>52644868.73899999</v>
      </c>
      <c r="D13" s="64">
        <f>SUM(D10:D12)</f>
        <v>2672178</v>
      </c>
      <c r="E13" s="114">
        <f>SUM(E10:E12)</f>
        <v>3048806</v>
      </c>
      <c r="F13" s="64">
        <f aca="true" t="shared" si="1" ref="F13:AI13">SUM(F10:F12)</f>
        <v>100794.00637999999</v>
      </c>
      <c r="G13" s="114">
        <f>SUM(G10:G12)</f>
        <v>85673.86799999999</v>
      </c>
      <c r="H13" s="64">
        <f t="shared" si="1"/>
        <v>378300.098</v>
      </c>
      <c r="I13" s="114">
        <f>SUM(I10:I12)</f>
        <v>261499.47299999997</v>
      </c>
      <c r="J13" s="64">
        <f t="shared" si="1"/>
        <v>1922467</v>
      </c>
      <c r="K13" s="114">
        <f>SUM(K10:K12)</f>
        <v>1837683</v>
      </c>
      <c r="L13" s="64">
        <f t="shared" si="1"/>
        <v>1079959.77755</v>
      </c>
      <c r="M13" s="114">
        <f>SUM(M10:M12)</f>
        <v>1370919.9100000001</v>
      </c>
      <c r="N13" s="64">
        <f t="shared" si="1"/>
        <v>5329521.924</v>
      </c>
      <c r="O13" s="114">
        <f>SUM(O10:O12)</f>
        <v>7597912.664</v>
      </c>
      <c r="P13" s="64">
        <f t="shared" si="1"/>
        <v>1139681.9149500001</v>
      </c>
      <c r="Q13" s="114">
        <f>SUM(Q10:Q12)</f>
        <v>1104296.044</v>
      </c>
      <c r="R13" s="64">
        <f t="shared" si="1"/>
        <v>2023226</v>
      </c>
      <c r="S13" s="114">
        <f>SUM(S10:S12)</f>
        <v>0</v>
      </c>
      <c r="T13" s="64">
        <f t="shared" si="1"/>
        <v>5927347.323</v>
      </c>
      <c r="U13" s="114">
        <f>SUM(U10:U12)</f>
        <v>10064575</v>
      </c>
      <c r="V13" s="64">
        <f t="shared" si="1"/>
        <v>3075887</v>
      </c>
      <c r="W13" s="114">
        <f>SUM(W10:W12)</f>
        <v>0</v>
      </c>
      <c r="X13" s="64">
        <f t="shared" si="1"/>
        <v>217018</v>
      </c>
      <c r="Y13" s="114">
        <f>SUM(Y10:Y12)</f>
        <v>272202.22</v>
      </c>
      <c r="Z13" s="94">
        <f t="shared" si="1"/>
        <v>4096</v>
      </c>
      <c r="AA13" s="114">
        <f t="shared" si="1"/>
        <v>0</v>
      </c>
      <c r="AB13" s="64">
        <f t="shared" si="1"/>
        <v>0</v>
      </c>
      <c r="AC13" s="114">
        <f t="shared" si="1"/>
        <v>722721.325</v>
      </c>
      <c r="AD13" s="64">
        <f t="shared" si="1"/>
        <v>19622.052</v>
      </c>
      <c r="AE13" s="114">
        <f t="shared" si="1"/>
        <v>107227.098</v>
      </c>
      <c r="AF13" s="64">
        <f t="shared" si="1"/>
        <v>0</v>
      </c>
      <c r="AG13" s="114">
        <f t="shared" si="1"/>
        <v>3069198</v>
      </c>
      <c r="AH13" s="64">
        <f t="shared" si="1"/>
        <v>0</v>
      </c>
      <c r="AI13" s="114">
        <f t="shared" si="1"/>
        <v>241726.41700000002</v>
      </c>
      <c r="AJ13" s="64">
        <f aca="true" t="shared" si="2" ref="AJ13:AQ13">SUM(AJ10:AJ12)</f>
        <v>7093907</v>
      </c>
      <c r="AK13" s="114">
        <f t="shared" si="2"/>
        <v>6486203</v>
      </c>
      <c r="AL13" s="64">
        <f t="shared" si="2"/>
        <v>4656690.313</v>
      </c>
      <c r="AM13" s="114">
        <f t="shared" si="2"/>
        <v>4704447.944</v>
      </c>
      <c r="AN13" s="64">
        <f t="shared" si="2"/>
        <v>1405205.099</v>
      </c>
      <c r="AO13" s="114">
        <f t="shared" si="2"/>
        <v>3700500.155</v>
      </c>
      <c r="AP13" s="64">
        <f t="shared" si="2"/>
        <v>2914144.6</v>
      </c>
      <c r="AQ13" s="114">
        <f t="shared" si="2"/>
        <v>6394879.621</v>
      </c>
      <c r="AR13" s="64">
        <f>SUM(AR10:AR12)</f>
        <v>0</v>
      </c>
      <c r="AS13" s="147">
        <f>SUM(AS10:AS12)</f>
        <v>1574397</v>
      </c>
      <c r="AT13" s="132"/>
    </row>
    <row r="14" spans="1:45" ht="12.75">
      <c r="A14" s="66" t="s">
        <v>27</v>
      </c>
      <c r="B14" s="63"/>
      <c r="C14" s="63"/>
      <c r="D14" s="63"/>
      <c r="E14" s="113"/>
      <c r="F14" s="63"/>
      <c r="G14" s="113"/>
      <c r="H14" s="63"/>
      <c r="I14" s="113"/>
      <c r="J14" s="63"/>
      <c r="K14" s="113"/>
      <c r="L14" s="63"/>
      <c r="M14" s="113"/>
      <c r="N14" s="64"/>
      <c r="O14" s="113"/>
      <c r="P14" s="63"/>
      <c r="Q14" s="113"/>
      <c r="R14" s="63"/>
      <c r="S14" s="113"/>
      <c r="T14" s="64"/>
      <c r="U14" s="113"/>
      <c r="V14" s="64"/>
      <c r="W14" s="113"/>
      <c r="X14" s="63"/>
      <c r="Y14" s="113"/>
      <c r="Z14" s="93"/>
      <c r="AA14" s="113"/>
      <c r="AB14" s="63"/>
      <c r="AC14" s="113"/>
      <c r="AD14" s="63"/>
      <c r="AE14" s="113"/>
      <c r="AF14" s="63"/>
      <c r="AG14" s="113"/>
      <c r="AH14" s="63"/>
      <c r="AI14" s="113"/>
      <c r="AJ14" s="63"/>
      <c r="AK14" s="113"/>
      <c r="AL14" s="63"/>
      <c r="AM14" s="113"/>
      <c r="AN14" s="63"/>
      <c r="AO14" s="113"/>
      <c r="AP14" s="63"/>
      <c r="AQ14" s="113"/>
      <c r="AR14" s="63"/>
      <c r="AS14" s="146"/>
    </row>
    <row r="15" spans="1:45" ht="12.75">
      <c r="A15" s="68" t="s">
        <v>28</v>
      </c>
      <c r="B15" s="63">
        <f aca="true" t="shared" si="3" ref="B15:C17">+D15+F15+H15+J15+L15+N15+P15+R15+T15+V15+X15+Z15+AB15+AD15+AF15+AH15+AJ15+AL15+AN15+AP15+AR15</f>
        <v>19199467.465520002</v>
      </c>
      <c r="C15" s="63">
        <f t="shared" si="3"/>
        <v>27244429.29</v>
      </c>
      <c r="D15" s="63">
        <v>1889393</v>
      </c>
      <c r="E15" s="113">
        <v>2273666</v>
      </c>
      <c r="F15" s="63">
        <v>43256.07215</v>
      </c>
      <c r="G15" s="113">
        <v>33733.052</v>
      </c>
      <c r="H15" s="63">
        <f>124431.148+9840.004+11214.861+253.42+29185.645</f>
        <v>174925.078</v>
      </c>
      <c r="I15" s="113">
        <v>79774.686</v>
      </c>
      <c r="J15" s="63">
        <v>392082</v>
      </c>
      <c r="K15" s="113">
        <v>310257</v>
      </c>
      <c r="L15" s="63">
        <v>282251.245</v>
      </c>
      <c r="M15" s="113">
        <v>443185.674</v>
      </c>
      <c r="N15" s="63">
        <v>2641868.521</v>
      </c>
      <c r="O15" s="113">
        <v>4139456.675</v>
      </c>
      <c r="P15" s="63">
        <v>633771.29637</v>
      </c>
      <c r="Q15" s="113">
        <v>313045.49</v>
      </c>
      <c r="R15" s="63">
        <v>568664</v>
      </c>
      <c r="S15" s="113">
        <v>0</v>
      </c>
      <c r="T15" s="63">
        <v>3073658.409</v>
      </c>
      <c r="U15" s="113">
        <v>6150384</v>
      </c>
      <c r="V15" s="63">
        <v>927912</v>
      </c>
      <c r="W15" s="113">
        <v>0</v>
      </c>
      <c r="X15" s="63">
        <v>73627</v>
      </c>
      <c r="Y15" s="113">
        <v>98414</v>
      </c>
      <c r="Z15" s="93">
        <v>1626663</v>
      </c>
      <c r="AA15" s="113">
        <v>0</v>
      </c>
      <c r="AB15" s="63">
        <v>0</v>
      </c>
      <c r="AC15" s="113">
        <f>126580.548+52110.528</f>
        <v>178691.076</v>
      </c>
      <c r="AD15" s="63">
        <v>7746.319</v>
      </c>
      <c r="AE15" s="113">
        <v>57568.386</v>
      </c>
      <c r="AF15" s="63">
        <v>0</v>
      </c>
      <c r="AG15" s="113">
        <v>2227421</v>
      </c>
      <c r="AH15" s="63">
        <v>0</v>
      </c>
      <c r="AI15" s="113">
        <v>186373.732</v>
      </c>
      <c r="AJ15" s="63">
        <v>3422375</v>
      </c>
      <c r="AK15" s="113">
        <v>3049854</v>
      </c>
      <c r="AL15" s="63">
        <v>1354515.669</v>
      </c>
      <c r="AM15" s="113">
        <v>1310236.85</v>
      </c>
      <c r="AN15" s="63">
        <v>270126.295</v>
      </c>
      <c r="AO15" s="113">
        <v>2385599.68</v>
      </c>
      <c r="AP15" s="63">
        <v>1816632.561</v>
      </c>
      <c r="AQ15" s="113">
        <v>3796763.427</v>
      </c>
      <c r="AR15" s="63">
        <v>0</v>
      </c>
      <c r="AS15" s="146">
        <v>210004.562</v>
      </c>
    </row>
    <row r="16" spans="1:45" ht="12.75">
      <c r="A16" s="65" t="s">
        <v>29</v>
      </c>
      <c r="B16" s="63">
        <f t="shared" si="3"/>
        <v>2762695.7060000002</v>
      </c>
      <c r="C16" s="63">
        <f t="shared" si="3"/>
        <v>3272838.378</v>
      </c>
      <c r="D16" s="63">
        <v>210000</v>
      </c>
      <c r="E16" s="113">
        <v>176992</v>
      </c>
      <c r="F16" s="63">
        <v>0</v>
      </c>
      <c r="G16" s="113">
        <v>0</v>
      </c>
      <c r="H16" s="63">
        <v>0</v>
      </c>
      <c r="I16" s="113">
        <v>0</v>
      </c>
      <c r="J16" s="63">
        <v>0</v>
      </c>
      <c r="K16" s="113">
        <v>0</v>
      </c>
      <c r="L16" s="63">
        <v>45162.072</v>
      </c>
      <c r="M16" s="113">
        <v>51039.713</v>
      </c>
      <c r="N16" s="63">
        <v>968607.256</v>
      </c>
      <c r="O16" s="113">
        <v>1321790.985</v>
      </c>
      <c r="P16" s="63">
        <v>32500</v>
      </c>
      <c r="Q16" s="113">
        <v>265239.038</v>
      </c>
      <c r="R16" s="63">
        <v>33033</v>
      </c>
      <c r="S16" s="113">
        <v>0</v>
      </c>
      <c r="T16" s="63">
        <v>0</v>
      </c>
      <c r="U16" s="113">
        <v>0</v>
      </c>
      <c r="V16" s="63">
        <v>0</v>
      </c>
      <c r="W16" s="113">
        <v>0</v>
      </c>
      <c r="X16" s="63">
        <v>0</v>
      </c>
      <c r="Y16" s="113">
        <v>0</v>
      </c>
      <c r="Z16" s="93">
        <v>0</v>
      </c>
      <c r="AA16" s="113">
        <v>0</v>
      </c>
      <c r="AB16" s="63">
        <v>0</v>
      </c>
      <c r="AC16" s="113">
        <v>0</v>
      </c>
      <c r="AD16" s="63">
        <v>0</v>
      </c>
      <c r="AE16" s="113">
        <v>0</v>
      </c>
      <c r="AF16" s="63">
        <v>0</v>
      </c>
      <c r="AG16" s="113">
        <v>0</v>
      </c>
      <c r="AH16" s="63">
        <v>0</v>
      </c>
      <c r="AI16" s="113">
        <v>0</v>
      </c>
      <c r="AJ16" s="63">
        <v>225025</v>
      </c>
      <c r="AK16" s="113">
        <v>220020</v>
      </c>
      <c r="AL16" s="63">
        <v>1248368.378</v>
      </c>
      <c r="AM16" s="113">
        <v>1237756.642</v>
      </c>
      <c r="AN16" s="63">
        <v>0</v>
      </c>
      <c r="AO16" s="113">
        <v>0</v>
      </c>
      <c r="AP16" s="63">
        <v>0</v>
      </c>
      <c r="AQ16" s="113">
        <v>0</v>
      </c>
      <c r="AR16" s="63">
        <v>0</v>
      </c>
      <c r="AS16" s="146">
        <v>0</v>
      </c>
    </row>
    <row r="17" spans="1:45" ht="12.75">
      <c r="A17" s="65" t="s">
        <v>30</v>
      </c>
      <c r="B17" s="63">
        <f t="shared" si="3"/>
        <v>39846</v>
      </c>
      <c r="C17" s="63">
        <f t="shared" si="3"/>
        <v>0</v>
      </c>
      <c r="D17" s="63">
        <v>0</v>
      </c>
      <c r="E17" s="113">
        <v>0</v>
      </c>
      <c r="F17" s="63">
        <v>0</v>
      </c>
      <c r="G17" s="113">
        <v>0</v>
      </c>
      <c r="H17" s="63">
        <v>0</v>
      </c>
      <c r="I17" s="113">
        <v>0</v>
      </c>
      <c r="J17" s="63">
        <v>0</v>
      </c>
      <c r="K17" s="113">
        <v>0</v>
      </c>
      <c r="L17" s="63">
        <v>0</v>
      </c>
      <c r="M17" s="113">
        <v>0</v>
      </c>
      <c r="N17" s="63">
        <v>0</v>
      </c>
      <c r="O17" s="113">
        <v>0</v>
      </c>
      <c r="P17" s="63">
        <v>0</v>
      </c>
      <c r="Q17" s="113">
        <v>0</v>
      </c>
      <c r="R17" s="63">
        <v>39846</v>
      </c>
      <c r="S17" s="113">
        <v>0</v>
      </c>
      <c r="T17" s="63">
        <v>0</v>
      </c>
      <c r="U17" s="113">
        <v>0</v>
      </c>
      <c r="V17" s="63">
        <v>0</v>
      </c>
      <c r="W17" s="113">
        <v>0</v>
      </c>
      <c r="X17" s="63">
        <v>0</v>
      </c>
      <c r="Y17" s="113">
        <v>0</v>
      </c>
      <c r="Z17" s="93">
        <v>0</v>
      </c>
      <c r="AA17" s="113">
        <v>0</v>
      </c>
      <c r="AB17" s="63">
        <v>0</v>
      </c>
      <c r="AC17" s="113">
        <v>0</v>
      </c>
      <c r="AD17" s="63">
        <v>0</v>
      </c>
      <c r="AE17" s="113">
        <v>0</v>
      </c>
      <c r="AF17" s="63">
        <v>0</v>
      </c>
      <c r="AG17" s="113">
        <v>0</v>
      </c>
      <c r="AH17" s="63">
        <v>0</v>
      </c>
      <c r="AI17" s="113">
        <v>0</v>
      </c>
      <c r="AJ17" s="63">
        <v>0</v>
      </c>
      <c r="AK17" s="113">
        <v>0</v>
      </c>
      <c r="AL17" s="63">
        <v>0</v>
      </c>
      <c r="AM17" s="113">
        <v>0</v>
      </c>
      <c r="AN17" s="63">
        <v>0</v>
      </c>
      <c r="AO17" s="113">
        <v>0</v>
      </c>
      <c r="AP17" s="63">
        <v>0</v>
      </c>
      <c r="AQ17" s="113">
        <v>0</v>
      </c>
      <c r="AR17" s="63">
        <v>0</v>
      </c>
      <c r="AS17" s="146">
        <v>0</v>
      </c>
    </row>
    <row r="18" spans="1:46" s="16" customFormat="1" ht="12.75">
      <c r="A18" s="66" t="s">
        <v>31</v>
      </c>
      <c r="B18" s="64">
        <f>SUM(B15:B17)</f>
        <v>22002009.171520002</v>
      </c>
      <c r="C18" s="64">
        <f>SUM(C15:C17)</f>
        <v>30517267.667999998</v>
      </c>
      <c r="D18" s="64">
        <f>SUM(D15:D17)</f>
        <v>2099393</v>
      </c>
      <c r="E18" s="114">
        <f>SUM(E15:E17)</f>
        <v>2450658</v>
      </c>
      <c r="F18" s="64">
        <f aca="true" t="shared" si="4" ref="F18:AI18">SUM(F15:F17)</f>
        <v>43256.07215</v>
      </c>
      <c r="G18" s="114">
        <f>SUM(G15:G17)</f>
        <v>33733.052</v>
      </c>
      <c r="H18" s="64">
        <f t="shared" si="4"/>
        <v>174925.078</v>
      </c>
      <c r="I18" s="114">
        <f>SUM(I15:I17)</f>
        <v>79774.686</v>
      </c>
      <c r="J18" s="64">
        <f t="shared" si="4"/>
        <v>392082</v>
      </c>
      <c r="K18" s="114">
        <f>SUM(K15:K17)</f>
        <v>310257</v>
      </c>
      <c r="L18" s="64">
        <f t="shared" si="4"/>
        <v>327413.317</v>
      </c>
      <c r="M18" s="114">
        <f>SUM(M15:M17)</f>
        <v>494225.387</v>
      </c>
      <c r="N18" s="64">
        <f t="shared" si="4"/>
        <v>3610475.7770000002</v>
      </c>
      <c r="O18" s="114">
        <f>SUM(O15:O17)</f>
        <v>5461247.66</v>
      </c>
      <c r="P18" s="64">
        <f t="shared" si="4"/>
        <v>666271.29637</v>
      </c>
      <c r="Q18" s="114">
        <f>SUM(Q15:Q17)</f>
        <v>578284.5279999999</v>
      </c>
      <c r="R18" s="64">
        <f t="shared" si="4"/>
        <v>641543</v>
      </c>
      <c r="S18" s="114">
        <f>SUM(S15:S17)</f>
        <v>0</v>
      </c>
      <c r="T18" s="64">
        <f t="shared" si="4"/>
        <v>3073658.409</v>
      </c>
      <c r="U18" s="114">
        <f>SUM(U15:U17)</f>
        <v>6150384</v>
      </c>
      <c r="V18" s="64">
        <f t="shared" si="4"/>
        <v>927912</v>
      </c>
      <c r="W18" s="114">
        <f>SUM(W15:W17)</f>
        <v>0</v>
      </c>
      <c r="X18" s="64">
        <f t="shared" si="4"/>
        <v>73627</v>
      </c>
      <c r="Y18" s="114">
        <f>SUM(Y15:Y17)</f>
        <v>98414</v>
      </c>
      <c r="Z18" s="94">
        <f t="shared" si="4"/>
        <v>1626663</v>
      </c>
      <c r="AA18" s="114">
        <f t="shared" si="4"/>
        <v>0</v>
      </c>
      <c r="AB18" s="64">
        <f t="shared" si="4"/>
        <v>0</v>
      </c>
      <c r="AC18" s="114">
        <f t="shared" si="4"/>
        <v>178691.076</v>
      </c>
      <c r="AD18" s="64">
        <f t="shared" si="4"/>
        <v>7746.319</v>
      </c>
      <c r="AE18" s="114">
        <f t="shared" si="4"/>
        <v>57568.386</v>
      </c>
      <c r="AF18" s="64">
        <f t="shared" si="4"/>
        <v>0</v>
      </c>
      <c r="AG18" s="114">
        <f t="shared" si="4"/>
        <v>2227421</v>
      </c>
      <c r="AH18" s="64">
        <f t="shared" si="4"/>
        <v>0</v>
      </c>
      <c r="AI18" s="114">
        <f t="shared" si="4"/>
        <v>186373.732</v>
      </c>
      <c r="AJ18" s="64">
        <f aca="true" t="shared" si="5" ref="AJ18:AQ18">SUM(AJ15:AJ17)</f>
        <v>3647400</v>
      </c>
      <c r="AK18" s="114">
        <f t="shared" si="5"/>
        <v>3269874</v>
      </c>
      <c r="AL18" s="64">
        <f t="shared" si="5"/>
        <v>2602884.0470000003</v>
      </c>
      <c r="AM18" s="114">
        <f t="shared" si="5"/>
        <v>2547993.492</v>
      </c>
      <c r="AN18" s="64">
        <f t="shared" si="5"/>
        <v>270126.295</v>
      </c>
      <c r="AO18" s="114">
        <f t="shared" si="5"/>
        <v>2385599.68</v>
      </c>
      <c r="AP18" s="64">
        <f t="shared" si="5"/>
        <v>1816632.561</v>
      </c>
      <c r="AQ18" s="114">
        <f t="shared" si="5"/>
        <v>3796763.427</v>
      </c>
      <c r="AR18" s="64">
        <f>SUM(AR15:AR17)</f>
        <v>0</v>
      </c>
      <c r="AS18" s="147">
        <f>SUM(AS15:AS17)</f>
        <v>210004.562</v>
      </c>
      <c r="AT18" s="132"/>
    </row>
    <row r="19" spans="1:46" s="16" customFormat="1" ht="12.75">
      <c r="A19" s="66" t="s">
        <v>32</v>
      </c>
      <c r="B19" s="64"/>
      <c r="C19" s="64"/>
      <c r="D19" s="64"/>
      <c r="E19" s="114"/>
      <c r="F19" s="64"/>
      <c r="G19" s="114"/>
      <c r="H19" s="64"/>
      <c r="I19" s="114"/>
      <c r="J19" s="64"/>
      <c r="K19" s="114"/>
      <c r="L19" s="64"/>
      <c r="M19" s="114"/>
      <c r="N19" s="63"/>
      <c r="O19" s="114"/>
      <c r="P19" s="64"/>
      <c r="Q19" s="114"/>
      <c r="R19" s="64"/>
      <c r="S19" s="114"/>
      <c r="T19" s="63"/>
      <c r="U19" s="114"/>
      <c r="V19" s="63"/>
      <c r="W19" s="114"/>
      <c r="X19" s="64"/>
      <c r="Y19" s="114"/>
      <c r="Z19" s="94"/>
      <c r="AA19" s="114"/>
      <c r="AB19" s="64"/>
      <c r="AC19" s="114"/>
      <c r="AD19" s="64"/>
      <c r="AE19" s="114"/>
      <c r="AF19" s="64"/>
      <c r="AG19" s="114"/>
      <c r="AH19" s="64"/>
      <c r="AI19" s="114"/>
      <c r="AJ19" s="64"/>
      <c r="AK19" s="114"/>
      <c r="AL19" s="64"/>
      <c r="AM19" s="114"/>
      <c r="AN19" s="64"/>
      <c r="AO19" s="114"/>
      <c r="AP19" s="64"/>
      <c r="AQ19" s="114"/>
      <c r="AR19" s="64"/>
      <c r="AS19" s="147"/>
      <c r="AT19" s="132"/>
    </row>
    <row r="20" spans="1:45" ht="12.75">
      <c r="A20" s="65" t="s">
        <v>33</v>
      </c>
      <c r="B20" s="63">
        <f aca="true" t="shared" si="6" ref="B20:C23">+D20+F20+H20+J20+L20+N20+P20+R20+T20+V20+X20+Z20+AB20+AD20+AF20+AH20+AJ20+AL20+AN20+AP20+AR20</f>
        <v>8059975</v>
      </c>
      <c r="C20" s="63">
        <f t="shared" si="6"/>
        <v>3086500</v>
      </c>
      <c r="D20" s="63">
        <v>62500</v>
      </c>
      <c r="E20" s="113">
        <v>62500</v>
      </c>
      <c r="F20" s="63">
        <v>50000</v>
      </c>
      <c r="G20" s="113">
        <v>50000</v>
      </c>
      <c r="H20" s="63">
        <v>5000</v>
      </c>
      <c r="I20" s="113">
        <v>5000</v>
      </c>
      <c r="J20" s="63">
        <v>150000</v>
      </c>
      <c r="K20" s="113">
        <v>150000</v>
      </c>
      <c r="L20" s="63">
        <v>56000</v>
      </c>
      <c r="M20" s="113">
        <v>56000</v>
      </c>
      <c r="N20" s="63">
        <v>1000000</v>
      </c>
      <c r="O20" s="113">
        <v>1000000</v>
      </c>
      <c r="P20" s="63">
        <v>15000</v>
      </c>
      <c r="Q20" s="113">
        <v>15000</v>
      </c>
      <c r="R20" s="63">
        <v>856586</v>
      </c>
      <c r="S20" s="113">
        <v>0</v>
      </c>
      <c r="T20" s="63">
        <v>1000</v>
      </c>
      <c r="U20" s="113">
        <v>1000</v>
      </c>
      <c r="V20" s="63">
        <v>1435696</v>
      </c>
      <c r="W20" s="113">
        <v>0</v>
      </c>
      <c r="X20" s="63">
        <v>10000</v>
      </c>
      <c r="Y20" s="113">
        <v>10000</v>
      </c>
      <c r="Z20" s="93">
        <v>3287193</v>
      </c>
      <c r="AA20" s="113">
        <v>0</v>
      </c>
      <c r="AB20" s="63">
        <v>0</v>
      </c>
      <c r="AC20" s="113">
        <v>24000</v>
      </c>
      <c r="AD20" s="63">
        <v>1000</v>
      </c>
      <c r="AE20" s="113">
        <v>1000</v>
      </c>
      <c r="AF20" s="63">
        <v>0</v>
      </c>
      <c r="AG20" s="113">
        <v>400000</v>
      </c>
      <c r="AH20" s="63">
        <v>0</v>
      </c>
      <c r="AI20" s="113">
        <v>180000</v>
      </c>
      <c r="AJ20" s="63">
        <v>450000</v>
      </c>
      <c r="AK20" s="113">
        <v>450000</v>
      </c>
      <c r="AL20" s="63">
        <v>300000</v>
      </c>
      <c r="AM20" s="113">
        <v>300000</v>
      </c>
      <c r="AN20" s="63">
        <v>180000</v>
      </c>
      <c r="AO20" s="113">
        <v>180000</v>
      </c>
      <c r="AP20" s="63">
        <v>200000</v>
      </c>
      <c r="AQ20" s="113">
        <v>200000</v>
      </c>
      <c r="AR20" s="63">
        <v>0</v>
      </c>
      <c r="AS20" s="146">
        <v>2000</v>
      </c>
    </row>
    <row r="21" spans="1:46" s="150" customFormat="1" ht="12.75">
      <c r="A21" s="153" t="s">
        <v>34</v>
      </c>
      <c r="B21" s="149">
        <f t="shared" si="6"/>
        <v>2979205.4530100003</v>
      </c>
      <c r="C21" s="149">
        <f t="shared" si="6"/>
        <v>7283725.954000001</v>
      </c>
      <c r="D21" s="149">
        <v>0</v>
      </c>
      <c r="E21" s="116">
        <v>2007</v>
      </c>
      <c r="F21" s="149">
        <v>-64605.43356</v>
      </c>
      <c r="G21" s="116">
        <v>-5597.117</v>
      </c>
      <c r="H21" s="149">
        <v>117.368</v>
      </c>
      <c r="I21" s="116">
        <v>-7119.752</v>
      </c>
      <c r="J21" s="149">
        <v>23175</v>
      </c>
      <c r="K21" s="116">
        <v>-2959</v>
      </c>
      <c r="L21" s="149">
        <v>142391.22755</v>
      </c>
      <c r="M21" s="116">
        <v>124148.063</v>
      </c>
      <c r="N21" s="149">
        <v>609861.115</v>
      </c>
      <c r="O21" s="116">
        <v>432728.857</v>
      </c>
      <c r="P21" s="149">
        <v>9879.63102</v>
      </c>
      <c r="Q21" s="116">
        <v>61492.564</v>
      </c>
      <c r="R21" s="149">
        <v>0</v>
      </c>
      <c r="S21" s="116">
        <v>0</v>
      </c>
      <c r="T21" s="149">
        <v>1187459.479</v>
      </c>
      <c r="U21" s="116">
        <v>3579504</v>
      </c>
      <c r="V21" s="149">
        <v>0</v>
      </c>
      <c r="W21" s="116">
        <v>0</v>
      </c>
      <c r="X21" s="149">
        <v>32967</v>
      </c>
      <c r="Y21" s="116">
        <v>42172.22</v>
      </c>
      <c r="Z21" s="154">
        <v>-28885</v>
      </c>
      <c r="AA21" s="116">
        <v>0</v>
      </c>
      <c r="AB21" s="149">
        <v>0</v>
      </c>
      <c r="AC21" s="116">
        <v>239056.224</v>
      </c>
      <c r="AD21" s="149">
        <v>10875.733</v>
      </c>
      <c r="AE21" s="116">
        <v>37782.979</v>
      </c>
      <c r="AF21" s="149">
        <v>0</v>
      </c>
      <c r="AG21" s="116">
        <v>156710</v>
      </c>
      <c r="AH21" s="149">
        <v>0</v>
      </c>
      <c r="AI21" s="116">
        <v>-133806.965</v>
      </c>
      <c r="AJ21" s="149">
        <v>874807</v>
      </c>
      <c r="AK21" s="116">
        <v>678001</v>
      </c>
      <c r="AL21" s="149">
        <v>23665.666</v>
      </c>
      <c r="AM21" s="116">
        <v>112724.946</v>
      </c>
      <c r="AN21" s="149">
        <v>66068.601</v>
      </c>
      <c r="AO21" s="116">
        <v>179821.67</v>
      </c>
      <c r="AP21" s="149">
        <v>91428.066</v>
      </c>
      <c r="AQ21" s="116">
        <v>1592032.221</v>
      </c>
      <c r="AR21" s="149">
        <v>0</v>
      </c>
      <c r="AS21" s="155">
        <v>195027.044</v>
      </c>
      <c r="AT21" s="156"/>
    </row>
    <row r="22" spans="1:45" ht="12.75">
      <c r="A22" s="65" t="s">
        <v>35</v>
      </c>
      <c r="B22" s="63">
        <f t="shared" si="6"/>
        <v>-5387734.745940001</v>
      </c>
      <c r="C22" s="63">
        <f t="shared" si="6"/>
        <v>2552083.192</v>
      </c>
      <c r="D22" s="63">
        <v>2007</v>
      </c>
      <c r="E22" s="113">
        <v>35044</v>
      </c>
      <c r="F22" s="63">
        <v>35473.88812</v>
      </c>
      <c r="G22" s="113">
        <v>-29131.545</v>
      </c>
      <c r="H22" s="63">
        <v>39719.85</v>
      </c>
      <c r="I22" s="113">
        <v>25306.737</v>
      </c>
      <c r="J22" s="63">
        <v>-6077</v>
      </c>
      <c r="K22" s="113">
        <v>14474</v>
      </c>
      <c r="L22" s="63">
        <v>150237.04016</v>
      </c>
      <c r="M22" s="113">
        <v>292628.267</v>
      </c>
      <c r="N22" s="63">
        <v>-1950948.04</v>
      </c>
      <c r="O22" s="113">
        <v>-1356196.925</v>
      </c>
      <c r="P22" s="63">
        <v>188811.38778</v>
      </c>
      <c r="Q22" s="113">
        <v>32330.451</v>
      </c>
      <c r="R22" s="63">
        <v>-432149</v>
      </c>
      <c r="S22" s="113">
        <v>0</v>
      </c>
      <c r="T22" s="63">
        <v>0</v>
      </c>
      <c r="U22" s="113">
        <v>0</v>
      </c>
      <c r="V22" s="63">
        <v>-714772</v>
      </c>
      <c r="W22" s="113">
        <v>0</v>
      </c>
      <c r="X22" s="63">
        <v>92576</v>
      </c>
      <c r="Y22" s="113">
        <v>113768</v>
      </c>
      <c r="Z22" s="93">
        <v>-4917262</v>
      </c>
      <c r="AA22" s="113">
        <v>0</v>
      </c>
      <c r="AB22" s="63">
        <v>0</v>
      </c>
      <c r="AC22" s="113">
        <v>124342.518</v>
      </c>
      <c r="AD22" s="63">
        <v>0</v>
      </c>
      <c r="AE22" s="113">
        <v>10375.733</v>
      </c>
      <c r="AF22" s="63">
        <v>0</v>
      </c>
      <c r="AG22" s="113">
        <v>199510</v>
      </c>
      <c r="AH22" s="63">
        <v>0</v>
      </c>
      <c r="AI22" s="113">
        <v>9159.65</v>
      </c>
      <c r="AJ22" s="63">
        <v>0</v>
      </c>
      <c r="AK22" s="113">
        <v>0</v>
      </c>
      <c r="AL22" s="63">
        <v>1166651.64</v>
      </c>
      <c r="AM22" s="113">
        <v>1190240.545</v>
      </c>
      <c r="AN22" s="63">
        <v>151912.515</v>
      </c>
      <c r="AO22" s="113">
        <v>211374.256</v>
      </c>
      <c r="AP22" s="63">
        <f>100000+706083.973</f>
        <v>806083.973</v>
      </c>
      <c r="AQ22" s="113">
        <f>100000+706083.973</f>
        <v>806083.973</v>
      </c>
      <c r="AR22" s="63">
        <v>0</v>
      </c>
      <c r="AS22" s="146">
        <f>862773.532+10000</f>
        <v>872773.532</v>
      </c>
    </row>
    <row r="23" spans="1:45" ht="12.75">
      <c r="A23" s="65" t="s">
        <v>36</v>
      </c>
      <c r="B23" s="63">
        <f t="shared" si="6"/>
        <v>10965049.236329999</v>
      </c>
      <c r="C23" s="63">
        <f t="shared" si="6"/>
        <v>9205292.056</v>
      </c>
      <c r="D23" s="63">
        <f>45706+447011+15561</f>
        <v>508278</v>
      </c>
      <c r="E23" s="113">
        <f>15561+447011+36025</f>
        <v>498597</v>
      </c>
      <c r="F23" s="63">
        <v>36669.47967</v>
      </c>
      <c r="G23" s="113">
        <f>36669.479</f>
        <v>36669.479</v>
      </c>
      <c r="H23" s="63">
        <f>156037.802+2500</f>
        <v>158537.802</v>
      </c>
      <c r="I23" s="113">
        <f>2500+156037.802</f>
        <v>158537.802</v>
      </c>
      <c r="J23" s="63">
        <f>808396+554891</f>
        <v>1363287</v>
      </c>
      <c r="K23" s="113">
        <f>2624+554891+808396</f>
        <v>1365911</v>
      </c>
      <c r="L23" s="63">
        <f>376971.93084+26946.262</f>
        <v>403918.19284</v>
      </c>
      <c r="M23" s="113">
        <f>26946.262+376971.93</f>
        <v>403918.192</v>
      </c>
      <c r="N23" s="63">
        <f>1122257.898+817488.855+120386.319</f>
        <v>2060133.072</v>
      </c>
      <c r="O23" s="113">
        <f>120386.319+817488.855+1122257.898</f>
        <v>2060133.0720000002</v>
      </c>
      <c r="P23" s="63">
        <f>56236.33117+68229.43724+39846.25425+63077.12616+32330.451</f>
        <v>259719.59982</v>
      </c>
      <c r="Q23" s="113">
        <f>125453.731+291734.768</f>
        <v>417188.49899999995</v>
      </c>
      <c r="R23" s="63">
        <f>611705+233984+111557</f>
        <v>957246</v>
      </c>
      <c r="S23" s="113">
        <v>0</v>
      </c>
      <c r="T23" s="63">
        <f>333187.443+500</f>
        <v>333687.443</v>
      </c>
      <c r="U23" s="113">
        <f>500+333187</f>
        <v>333687</v>
      </c>
      <c r="V23" s="63">
        <f>993173+338982+94896</f>
        <v>1427051</v>
      </c>
      <c r="W23" s="113">
        <v>0</v>
      </c>
      <c r="X23" s="63">
        <v>7848</v>
      </c>
      <c r="Y23" s="113">
        <v>7848</v>
      </c>
      <c r="Z23" s="93">
        <f>36130+257</f>
        <v>36387</v>
      </c>
      <c r="AA23" s="113">
        <v>0</v>
      </c>
      <c r="AB23" s="63">
        <v>0</v>
      </c>
      <c r="AC23" s="113">
        <f>11214.601+145416.906</f>
        <v>156631.50699999998</v>
      </c>
      <c r="AD23" s="63">
        <v>0</v>
      </c>
      <c r="AE23" s="113">
        <v>500</v>
      </c>
      <c r="AF23" s="63">
        <v>0</v>
      </c>
      <c r="AG23" s="113">
        <f>63415+22142</f>
        <v>85557</v>
      </c>
      <c r="AH23" s="63">
        <v>0</v>
      </c>
      <c r="AI23" s="113">
        <v>0</v>
      </c>
      <c r="AJ23" s="63">
        <f>248050+1848156+25494</f>
        <v>2121700</v>
      </c>
      <c r="AK23" s="113">
        <f>248050+1803876+36402</f>
        <v>2088328</v>
      </c>
      <c r="AL23" s="63">
        <f>104098.993+171890.932+277499.035</f>
        <v>553488.96</v>
      </c>
      <c r="AM23" s="113">
        <f>104098.993+171890.932+277499.035</f>
        <v>553488.96</v>
      </c>
      <c r="AN23" s="63">
        <f>78954.98+643757.489+14385.218</f>
        <v>737097.6869999999</v>
      </c>
      <c r="AO23" s="113">
        <f>85561.84+643757.489+14385.218</f>
        <v>743704.5469999999</v>
      </c>
      <c r="AP23" s="63">
        <v>0</v>
      </c>
      <c r="AQ23" s="113">
        <v>0</v>
      </c>
      <c r="AR23" s="63">
        <v>0</v>
      </c>
      <c r="AS23" s="146">
        <f>257433.851+47158.147-10000</f>
        <v>294591.998</v>
      </c>
    </row>
    <row r="24" spans="1:46" s="16" customFormat="1" ht="12.75">
      <c r="A24" s="66" t="s">
        <v>37</v>
      </c>
      <c r="B24" s="64">
        <f>SUM(B20:B23)</f>
        <v>16616494.9434</v>
      </c>
      <c r="C24" s="64">
        <f>SUM(C20:C23)</f>
        <v>22127601.202</v>
      </c>
      <c r="D24" s="64">
        <f>SUM(D20:D23)</f>
        <v>572785</v>
      </c>
      <c r="E24" s="114">
        <f>SUM(E20:E23)</f>
        <v>598148</v>
      </c>
      <c r="F24" s="64">
        <f aca="true" t="shared" si="7" ref="F24:AI24">SUM(F20:F23)</f>
        <v>57537.934230000006</v>
      </c>
      <c r="G24" s="114">
        <f>SUM(G20:G23)</f>
        <v>51940.817</v>
      </c>
      <c r="H24" s="64">
        <f t="shared" si="7"/>
        <v>203375.02</v>
      </c>
      <c r="I24" s="114">
        <f>SUM(I20:I23)</f>
        <v>181724.787</v>
      </c>
      <c r="J24" s="64">
        <f t="shared" si="7"/>
        <v>1530385</v>
      </c>
      <c r="K24" s="114">
        <f>SUM(K20:K23)</f>
        <v>1527426</v>
      </c>
      <c r="L24" s="64">
        <f t="shared" si="7"/>
        <v>752546.46055</v>
      </c>
      <c r="M24" s="114">
        <f>SUM(M20:M23)</f>
        <v>876694.5219999999</v>
      </c>
      <c r="N24" s="64">
        <f t="shared" si="7"/>
        <v>1719046.1469999999</v>
      </c>
      <c r="O24" s="114">
        <f>SUM(O20:O23)</f>
        <v>2136665.004</v>
      </c>
      <c r="P24" s="64">
        <f t="shared" si="7"/>
        <v>473410.61861999996</v>
      </c>
      <c r="Q24" s="114">
        <f>SUM(Q20:Q23)</f>
        <v>526011.514</v>
      </c>
      <c r="R24" s="64">
        <f t="shared" si="7"/>
        <v>1381683</v>
      </c>
      <c r="S24" s="114">
        <f>SUM(S20:S23)</f>
        <v>0</v>
      </c>
      <c r="T24" s="64">
        <f t="shared" si="7"/>
        <v>1522146.922</v>
      </c>
      <c r="U24" s="114">
        <f>SUM(U20:U23)</f>
        <v>3914191</v>
      </c>
      <c r="V24" s="64">
        <f t="shared" si="7"/>
        <v>2147975</v>
      </c>
      <c r="W24" s="114">
        <f>SUM(W20:W23)</f>
        <v>0</v>
      </c>
      <c r="X24" s="64">
        <f t="shared" si="7"/>
        <v>143391</v>
      </c>
      <c r="Y24" s="114">
        <f>SUM(Y20:Y23)</f>
        <v>173788.22</v>
      </c>
      <c r="Z24" s="94">
        <f t="shared" si="7"/>
        <v>-1622567</v>
      </c>
      <c r="AA24" s="114">
        <f t="shared" si="7"/>
        <v>0</v>
      </c>
      <c r="AB24" s="64">
        <f t="shared" si="7"/>
        <v>0</v>
      </c>
      <c r="AC24" s="114">
        <f t="shared" si="7"/>
        <v>544030.249</v>
      </c>
      <c r="AD24" s="64">
        <f t="shared" si="7"/>
        <v>11875.733</v>
      </c>
      <c r="AE24" s="114">
        <f t="shared" si="7"/>
        <v>49658.712</v>
      </c>
      <c r="AF24" s="64">
        <f t="shared" si="7"/>
        <v>0</v>
      </c>
      <c r="AG24" s="114">
        <f t="shared" si="7"/>
        <v>841777</v>
      </c>
      <c r="AH24" s="64">
        <f t="shared" si="7"/>
        <v>0</v>
      </c>
      <c r="AI24" s="114">
        <f t="shared" si="7"/>
        <v>55352.685000000005</v>
      </c>
      <c r="AJ24" s="64">
        <f aca="true" t="shared" si="8" ref="AJ24:AQ24">SUM(AJ20:AJ23)</f>
        <v>3446507</v>
      </c>
      <c r="AK24" s="114">
        <f t="shared" si="8"/>
        <v>3216329</v>
      </c>
      <c r="AL24" s="64">
        <f t="shared" si="8"/>
        <v>2043806.2659999998</v>
      </c>
      <c r="AM24" s="114">
        <f t="shared" si="8"/>
        <v>2156454.451</v>
      </c>
      <c r="AN24" s="64">
        <f t="shared" si="8"/>
        <v>1135078.8029999998</v>
      </c>
      <c r="AO24" s="114">
        <f t="shared" si="8"/>
        <v>1314900.4729999998</v>
      </c>
      <c r="AP24" s="64">
        <f t="shared" si="8"/>
        <v>1097512.0389999999</v>
      </c>
      <c r="AQ24" s="114">
        <f t="shared" si="8"/>
        <v>2598116.194</v>
      </c>
      <c r="AR24" s="64">
        <f>SUM(AR20:AR23)</f>
        <v>0</v>
      </c>
      <c r="AS24" s="147">
        <f>SUM(AS20:AS23)</f>
        <v>1364392.574</v>
      </c>
      <c r="AT24" s="132"/>
    </row>
    <row r="25" spans="1:46" s="16" customFormat="1" ht="12.75">
      <c r="A25" s="66" t="s">
        <v>38</v>
      </c>
      <c r="B25" s="64">
        <f>+B24+B18</f>
        <v>38618504.114920005</v>
      </c>
      <c r="C25" s="64">
        <f>+C24+C18</f>
        <v>52644868.87</v>
      </c>
      <c r="D25" s="64">
        <f>+D24+D18</f>
        <v>2672178</v>
      </c>
      <c r="E25" s="114">
        <f>+E24+E18</f>
        <v>3048806</v>
      </c>
      <c r="F25" s="64">
        <f aca="true" t="shared" si="9" ref="F25:AI25">+F24+F18</f>
        <v>100794.00638</v>
      </c>
      <c r="G25" s="114">
        <f>+G24+G18</f>
        <v>85673.869</v>
      </c>
      <c r="H25" s="64">
        <f t="shared" si="9"/>
        <v>378300.098</v>
      </c>
      <c r="I25" s="114">
        <f>+I24+I18</f>
        <v>261499.473</v>
      </c>
      <c r="J25" s="64">
        <f t="shared" si="9"/>
        <v>1922467</v>
      </c>
      <c r="K25" s="114">
        <f>+K24+K18</f>
        <v>1837683</v>
      </c>
      <c r="L25" s="64">
        <f t="shared" si="9"/>
        <v>1079959.77755</v>
      </c>
      <c r="M25" s="114">
        <f>+M24+M18</f>
        <v>1370919.909</v>
      </c>
      <c r="N25" s="64">
        <f t="shared" si="9"/>
        <v>5329521.924000001</v>
      </c>
      <c r="O25" s="114">
        <f>+O24+O18</f>
        <v>7597912.664000001</v>
      </c>
      <c r="P25" s="64">
        <f t="shared" si="9"/>
        <v>1139681.91499</v>
      </c>
      <c r="Q25" s="114">
        <f>+Q24+Q18</f>
        <v>1104296.042</v>
      </c>
      <c r="R25" s="64">
        <f t="shared" si="9"/>
        <v>2023226</v>
      </c>
      <c r="S25" s="114">
        <f>+S24+S18</f>
        <v>0</v>
      </c>
      <c r="T25" s="64">
        <f t="shared" si="9"/>
        <v>4595805.331</v>
      </c>
      <c r="U25" s="114">
        <f>+U24+U18</f>
        <v>10064575</v>
      </c>
      <c r="V25" s="64">
        <f t="shared" si="9"/>
        <v>3075887</v>
      </c>
      <c r="W25" s="114">
        <f>+W24+W18</f>
        <v>0</v>
      </c>
      <c r="X25" s="64">
        <f t="shared" si="9"/>
        <v>217018</v>
      </c>
      <c r="Y25" s="114">
        <f>+Y24+Y18</f>
        <v>272202.22</v>
      </c>
      <c r="Z25" s="94">
        <f t="shared" si="9"/>
        <v>4096</v>
      </c>
      <c r="AA25" s="114">
        <f t="shared" si="9"/>
        <v>0</v>
      </c>
      <c r="AB25" s="64">
        <f t="shared" si="9"/>
        <v>0</v>
      </c>
      <c r="AC25" s="114">
        <f t="shared" si="9"/>
        <v>722721.325</v>
      </c>
      <c r="AD25" s="64">
        <f t="shared" si="9"/>
        <v>19622.052</v>
      </c>
      <c r="AE25" s="114">
        <f t="shared" si="9"/>
        <v>107227.098</v>
      </c>
      <c r="AF25" s="64">
        <f t="shared" si="9"/>
        <v>0</v>
      </c>
      <c r="AG25" s="114">
        <f t="shared" si="9"/>
        <v>3069198</v>
      </c>
      <c r="AH25" s="64">
        <f t="shared" si="9"/>
        <v>0</v>
      </c>
      <c r="AI25" s="114">
        <f t="shared" si="9"/>
        <v>241726.417</v>
      </c>
      <c r="AJ25" s="64">
        <f aca="true" t="shared" si="10" ref="AJ25:AQ25">+AJ24+AJ18</f>
        <v>7093907</v>
      </c>
      <c r="AK25" s="114">
        <f t="shared" si="10"/>
        <v>6486203</v>
      </c>
      <c r="AL25" s="64">
        <f t="shared" si="10"/>
        <v>4646690.313</v>
      </c>
      <c r="AM25" s="114">
        <f t="shared" si="10"/>
        <v>4704447.943</v>
      </c>
      <c r="AN25" s="64">
        <f t="shared" si="10"/>
        <v>1405205.0979999998</v>
      </c>
      <c r="AO25" s="114">
        <f t="shared" si="10"/>
        <v>3700500.153</v>
      </c>
      <c r="AP25" s="64">
        <f t="shared" si="10"/>
        <v>2914144.5999999996</v>
      </c>
      <c r="AQ25" s="114">
        <f t="shared" si="10"/>
        <v>6394879.621</v>
      </c>
      <c r="AR25" s="64">
        <f>+AR24+AR18</f>
        <v>0</v>
      </c>
      <c r="AS25" s="147">
        <f>+AS24+AS18</f>
        <v>1574397.136</v>
      </c>
      <c r="AT25" s="132"/>
    </row>
    <row r="26" spans="1:46" s="16" customFormat="1" ht="12.75">
      <c r="A26" s="66" t="s">
        <v>39</v>
      </c>
      <c r="B26" s="64"/>
      <c r="C26" s="64"/>
      <c r="D26" s="64"/>
      <c r="E26" s="114"/>
      <c r="F26" s="64"/>
      <c r="G26" s="114"/>
      <c r="H26" s="64"/>
      <c r="I26" s="114"/>
      <c r="J26" s="64"/>
      <c r="K26" s="114"/>
      <c r="L26" s="64"/>
      <c r="M26" s="114"/>
      <c r="N26" s="63"/>
      <c r="O26" s="114"/>
      <c r="P26" s="64"/>
      <c r="Q26" s="114"/>
      <c r="R26" s="64"/>
      <c r="S26" s="114"/>
      <c r="T26" s="63"/>
      <c r="U26" s="114"/>
      <c r="V26" s="63"/>
      <c r="W26" s="114"/>
      <c r="X26" s="64"/>
      <c r="Y26" s="114"/>
      <c r="Z26" s="94"/>
      <c r="AA26" s="114"/>
      <c r="AB26" s="64"/>
      <c r="AC26" s="114"/>
      <c r="AD26" s="64"/>
      <c r="AE26" s="114"/>
      <c r="AF26" s="64"/>
      <c r="AG26" s="114"/>
      <c r="AH26" s="64"/>
      <c r="AI26" s="114"/>
      <c r="AJ26" s="64"/>
      <c r="AK26" s="114"/>
      <c r="AL26" s="64"/>
      <c r="AM26" s="114"/>
      <c r="AN26" s="64"/>
      <c r="AO26" s="114"/>
      <c r="AP26" s="64"/>
      <c r="AQ26" s="114"/>
      <c r="AR26" s="64"/>
      <c r="AS26" s="147"/>
      <c r="AT26" s="132"/>
    </row>
    <row r="27" spans="1:46" s="16" customFormat="1" ht="12.75">
      <c r="A27" s="66" t="s">
        <v>40</v>
      </c>
      <c r="B27" s="64"/>
      <c r="C27" s="64"/>
      <c r="D27" s="64"/>
      <c r="E27" s="114"/>
      <c r="F27" s="64"/>
      <c r="G27" s="114"/>
      <c r="H27" s="64"/>
      <c r="I27" s="114"/>
      <c r="J27" s="64"/>
      <c r="K27" s="114"/>
      <c r="L27" s="64"/>
      <c r="M27" s="114"/>
      <c r="N27" s="63"/>
      <c r="O27" s="114"/>
      <c r="P27" s="64"/>
      <c r="Q27" s="114"/>
      <c r="R27" s="64"/>
      <c r="S27" s="114"/>
      <c r="T27" s="63"/>
      <c r="U27" s="114"/>
      <c r="V27" s="63"/>
      <c r="W27" s="114"/>
      <c r="X27" s="64"/>
      <c r="Y27" s="114"/>
      <c r="Z27" s="94"/>
      <c r="AA27" s="114"/>
      <c r="AB27" s="64"/>
      <c r="AC27" s="114"/>
      <c r="AD27" s="64"/>
      <c r="AE27" s="114"/>
      <c r="AF27" s="64"/>
      <c r="AG27" s="114"/>
      <c r="AH27" s="64"/>
      <c r="AI27" s="114"/>
      <c r="AJ27" s="64"/>
      <c r="AK27" s="114"/>
      <c r="AL27" s="64"/>
      <c r="AM27" s="114"/>
      <c r="AN27" s="64"/>
      <c r="AO27" s="114"/>
      <c r="AP27" s="64"/>
      <c r="AQ27" s="114"/>
      <c r="AR27" s="64"/>
      <c r="AS27" s="147"/>
      <c r="AT27" s="132"/>
    </row>
    <row r="28" spans="1:45" ht="12.75">
      <c r="A28" s="65" t="s">
        <v>41</v>
      </c>
      <c r="B28" s="63">
        <f>+D28+F28+H28+J28+L28+N28+P28+R28+T28+V28+X28+Z28+AB28+AD28+AF28+AH28+AJ28+AL28+AN28+AP28+AR28</f>
        <v>81167227.71128999</v>
      </c>
      <c r="C28" s="63">
        <f>+E28+G28+I28+K28+M28+O28+Q28+S28+U28+W28+Y28+AA28+AC28+AE28+AG28+AI28+AK28+AM28+AO28+AQ28+AS28</f>
        <v>97103955.89500001</v>
      </c>
      <c r="D28" s="63">
        <v>8235634</v>
      </c>
      <c r="E28" s="113">
        <v>8453777</v>
      </c>
      <c r="F28" s="63">
        <v>1988.19</v>
      </c>
      <c r="G28" s="113">
        <v>30599.516</v>
      </c>
      <c r="H28" s="63">
        <v>718737.193</v>
      </c>
      <c r="I28" s="113">
        <v>698929.502</v>
      </c>
      <c r="J28" s="63">
        <v>1429121</v>
      </c>
      <c r="K28" s="113">
        <v>1388111</v>
      </c>
      <c r="L28" s="63">
        <v>1799605.767</v>
      </c>
      <c r="M28" s="113">
        <v>2074599.029</v>
      </c>
      <c r="N28" s="63">
        <v>18052076.304</v>
      </c>
      <c r="O28" s="113">
        <v>21252109.086</v>
      </c>
      <c r="P28" s="63">
        <v>1189983.47129</v>
      </c>
      <c r="Q28" s="113">
        <v>974736.664</v>
      </c>
      <c r="R28" s="63">
        <v>987653</v>
      </c>
      <c r="S28" s="113">
        <v>0</v>
      </c>
      <c r="T28" s="63">
        <v>9119122.16</v>
      </c>
      <c r="U28" s="113">
        <v>20616824</v>
      </c>
      <c r="V28" s="63">
        <v>6305376</v>
      </c>
      <c r="W28" s="113">
        <v>0</v>
      </c>
      <c r="X28" s="63">
        <v>272727</v>
      </c>
      <c r="Y28" s="113">
        <v>544644.862</v>
      </c>
      <c r="Z28" s="93">
        <v>0</v>
      </c>
      <c r="AA28" s="113">
        <v>0</v>
      </c>
      <c r="AB28" s="63">
        <v>0</v>
      </c>
      <c r="AC28" s="113">
        <f>506158.226+939829.84</f>
        <v>1445988.066</v>
      </c>
      <c r="AD28" s="63">
        <v>84473.65</v>
      </c>
      <c r="AE28" s="113">
        <v>284291.365</v>
      </c>
      <c r="AF28" s="63">
        <v>0</v>
      </c>
      <c r="AG28" s="113">
        <v>4419902</v>
      </c>
      <c r="AH28" s="63">
        <v>0</v>
      </c>
      <c r="AI28" s="113">
        <v>370287.178</v>
      </c>
      <c r="AJ28" s="63">
        <f>20448214+864985</f>
        <v>21313199</v>
      </c>
      <c r="AK28" s="113">
        <v>18490123</v>
      </c>
      <c r="AL28" s="63">
        <v>4434527.796</v>
      </c>
      <c r="AM28" s="113">
        <v>7140078.306</v>
      </c>
      <c r="AN28" s="63">
        <v>6064075.161</v>
      </c>
      <c r="AO28" s="113">
        <v>6085754.237</v>
      </c>
      <c r="AP28" s="63">
        <v>1158928.019</v>
      </c>
      <c r="AQ28" s="113">
        <v>1542576.819</v>
      </c>
      <c r="AR28" s="63">
        <v>0</v>
      </c>
      <c r="AS28" s="146">
        <v>1290624.265</v>
      </c>
    </row>
    <row r="29" spans="1:45" ht="12.75">
      <c r="A29" s="65" t="s">
        <v>42</v>
      </c>
      <c r="B29" s="63">
        <f>+D29+F29+H29+J29+L29+N29+P29+R29+T29+V29+X29+Z29+AB29+AD29+AF29+AH29+AJ29+AL29+AN29+AP29+AR29</f>
        <v>4919775.15502</v>
      </c>
      <c r="C29" s="63">
        <f>+E29+G29+I29+K29+M29+O29+Q29+S29+U29+W29+Y29+AA29+AC29+AE29+AG29+AI29+AK29+AM29+AO29+AQ29+AS29</f>
        <v>5659559.507</v>
      </c>
      <c r="D29" s="63">
        <v>203505</v>
      </c>
      <c r="E29" s="113">
        <v>198115</v>
      </c>
      <c r="F29" s="63">
        <v>2.21927</v>
      </c>
      <c r="G29" s="113">
        <v>0.797</v>
      </c>
      <c r="H29" s="63">
        <v>2544.671</v>
      </c>
      <c r="I29" s="113">
        <v>0</v>
      </c>
      <c r="J29" s="63">
        <v>7090</v>
      </c>
      <c r="K29" s="113">
        <v>61151</v>
      </c>
      <c r="L29" s="63">
        <v>84114.64975</v>
      </c>
      <c r="M29" s="113">
        <v>144451.008</v>
      </c>
      <c r="N29" s="63">
        <v>221516.506</v>
      </c>
      <c r="O29" s="113">
        <v>119387.882</v>
      </c>
      <c r="P29" s="63">
        <v>110028.325</v>
      </c>
      <c r="Q29" s="113">
        <v>75894.578</v>
      </c>
      <c r="R29" s="63">
        <v>378063</v>
      </c>
      <c r="S29" s="113">
        <v>0</v>
      </c>
      <c r="T29" s="63">
        <v>187677.408</v>
      </c>
      <c r="U29" s="113">
        <v>438450</v>
      </c>
      <c r="V29" s="63">
        <v>0</v>
      </c>
      <c r="W29" s="113">
        <v>0</v>
      </c>
      <c r="X29" s="63">
        <v>0</v>
      </c>
      <c r="Y29" s="113">
        <v>0</v>
      </c>
      <c r="Z29" s="93">
        <v>0</v>
      </c>
      <c r="AA29" s="113">
        <v>0</v>
      </c>
      <c r="AB29" s="63">
        <v>0</v>
      </c>
      <c r="AC29" s="113">
        <f>2223.081+34749.656</f>
        <v>36972.737</v>
      </c>
      <c r="AD29" s="63">
        <v>0.408</v>
      </c>
      <c r="AE29" s="113">
        <v>2344.128</v>
      </c>
      <c r="AF29" s="63">
        <v>0</v>
      </c>
      <c r="AG29" s="113">
        <v>903517</v>
      </c>
      <c r="AH29" s="63">
        <v>0</v>
      </c>
      <c r="AI29" s="113">
        <v>0</v>
      </c>
      <c r="AJ29" s="63">
        <v>222214</v>
      </c>
      <c r="AK29" s="113">
        <v>381002</v>
      </c>
      <c r="AL29" s="63">
        <f>3201482.088+150787.372</f>
        <v>3352269.46</v>
      </c>
      <c r="AM29" s="113">
        <f>1722699.035+159454.253</f>
        <v>1882153.288</v>
      </c>
      <c r="AN29" s="63">
        <v>22693.234</v>
      </c>
      <c r="AO29" s="113">
        <v>12228.321</v>
      </c>
      <c r="AP29" s="63">
        <v>128056.274</v>
      </c>
      <c r="AQ29" s="113">
        <v>1374747.967</v>
      </c>
      <c r="AR29" s="63">
        <v>0</v>
      </c>
      <c r="AS29" s="146">
        <v>29143.801</v>
      </c>
    </row>
    <row r="30" spans="1:46" s="16" customFormat="1" ht="12.75">
      <c r="A30" s="66" t="s">
        <v>43</v>
      </c>
      <c r="B30" s="64">
        <f>SUM(B28:B29)</f>
        <v>86087002.86630999</v>
      </c>
      <c r="C30" s="64">
        <f>SUM(C28:C29)</f>
        <v>102763515.40200001</v>
      </c>
      <c r="D30" s="64">
        <f>SUM(D28:D29)</f>
        <v>8439139</v>
      </c>
      <c r="E30" s="114">
        <f>SUM(E28:E29)</f>
        <v>8651892</v>
      </c>
      <c r="F30" s="64">
        <f aca="true" t="shared" si="11" ref="F30:AI30">SUM(F28:F29)</f>
        <v>1990.40927</v>
      </c>
      <c r="G30" s="114">
        <f>SUM(G28:G29)</f>
        <v>30600.313</v>
      </c>
      <c r="H30" s="64">
        <f t="shared" si="11"/>
        <v>721281.864</v>
      </c>
      <c r="I30" s="114">
        <f>SUM(I28:I29)</f>
        <v>698929.502</v>
      </c>
      <c r="J30" s="64">
        <f t="shared" si="11"/>
        <v>1436211</v>
      </c>
      <c r="K30" s="114">
        <f>SUM(K28:K29)</f>
        <v>1449262</v>
      </c>
      <c r="L30" s="64">
        <f t="shared" si="11"/>
        <v>1883720.41675</v>
      </c>
      <c r="M30" s="114">
        <f>SUM(M28:M29)</f>
        <v>2219050.037</v>
      </c>
      <c r="N30" s="64">
        <f t="shared" si="11"/>
        <v>18273592.810000002</v>
      </c>
      <c r="O30" s="114">
        <f>SUM(O28:O29)</f>
        <v>21371496.968</v>
      </c>
      <c r="P30" s="64">
        <f t="shared" si="11"/>
        <v>1300011.79629</v>
      </c>
      <c r="Q30" s="114">
        <f>SUM(Q28:Q29)</f>
        <v>1050631.242</v>
      </c>
      <c r="R30" s="64">
        <f t="shared" si="11"/>
        <v>1365716</v>
      </c>
      <c r="S30" s="114">
        <f>SUM(S28:S29)</f>
        <v>0</v>
      </c>
      <c r="T30" s="64">
        <f t="shared" si="11"/>
        <v>9306799.568</v>
      </c>
      <c r="U30" s="114">
        <f>SUM(U28:U29)</f>
        <v>21055274</v>
      </c>
      <c r="V30" s="64">
        <f t="shared" si="11"/>
        <v>6305376</v>
      </c>
      <c r="W30" s="114">
        <f>SUM(W28:W29)</f>
        <v>0</v>
      </c>
      <c r="X30" s="64">
        <f t="shared" si="11"/>
        <v>272727</v>
      </c>
      <c r="Y30" s="114">
        <f>SUM(Y28:Y29)</f>
        <v>544644.862</v>
      </c>
      <c r="Z30" s="94">
        <f t="shared" si="11"/>
        <v>0</v>
      </c>
      <c r="AA30" s="114">
        <f t="shared" si="11"/>
        <v>0</v>
      </c>
      <c r="AB30" s="64">
        <f t="shared" si="11"/>
        <v>0</v>
      </c>
      <c r="AC30" s="114">
        <f t="shared" si="11"/>
        <v>1482960.803</v>
      </c>
      <c r="AD30" s="64">
        <f t="shared" si="11"/>
        <v>84474.05799999999</v>
      </c>
      <c r="AE30" s="114">
        <f t="shared" si="11"/>
        <v>286635.493</v>
      </c>
      <c r="AF30" s="64">
        <f t="shared" si="11"/>
        <v>0</v>
      </c>
      <c r="AG30" s="114">
        <f t="shared" si="11"/>
        <v>5323419</v>
      </c>
      <c r="AH30" s="64">
        <f t="shared" si="11"/>
        <v>0</v>
      </c>
      <c r="AI30" s="114">
        <f t="shared" si="11"/>
        <v>370287.178</v>
      </c>
      <c r="AJ30" s="64">
        <f aca="true" t="shared" si="12" ref="AJ30:AQ30">SUM(AJ28:AJ29)</f>
        <v>21535413</v>
      </c>
      <c r="AK30" s="114">
        <f t="shared" si="12"/>
        <v>18871125</v>
      </c>
      <c r="AL30" s="64">
        <f t="shared" si="12"/>
        <v>7786797.256</v>
      </c>
      <c r="AM30" s="114">
        <f t="shared" si="12"/>
        <v>9022231.594</v>
      </c>
      <c r="AN30" s="64">
        <f t="shared" si="12"/>
        <v>6086768.3950000005</v>
      </c>
      <c r="AO30" s="114">
        <f t="shared" si="12"/>
        <v>6097982.558</v>
      </c>
      <c r="AP30" s="64">
        <f t="shared" si="12"/>
        <v>1286984.293</v>
      </c>
      <c r="AQ30" s="114">
        <f t="shared" si="12"/>
        <v>2917324.786</v>
      </c>
      <c r="AR30" s="64">
        <f>SUM(AR28:AR29)</f>
        <v>0</v>
      </c>
      <c r="AS30" s="147">
        <f>SUM(AS28:AS29)</f>
        <v>1319768.0659999999</v>
      </c>
      <c r="AT30" s="132"/>
    </row>
    <row r="31" spans="1:46" s="16" customFormat="1" ht="12.75">
      <c r="A31" s="66" t="s">
        <v>47</v>
      </c>
      <c r="B31" s="64"/>
      <c r="C31" s="64"/>
      <c r="D31" s="64"/>
      <c r="E31" s="114"/>
      <c r="F31" s="64"/>
      <c r="G31" s="114"/>
      <c r="H31" s="64"/>
      <c r="I31" s="114"/>
      <c r="J31" s="64"/>
      <c r="K31" s="114"/>
      <c r="L31" s="64"/>
      <c r="M31" s="114"/>
      <c r="N31" s="63"/>
      <c r="O31" s="114"/>
      <c r="P31" s="64"/>
      <c r="Q31" s="114"/>
      <c r="R31" s="64"/>
      <c r="S31" s="114"/>
      <c r="T31" s="63"/>
      <c r="U31" s="114"/>
      <c r="V31" s="63"/>
      <c r="W31" s="114"/>
      <c r="X31" s="64"/>
      <c r="Y31" s="114"/>
      <c r="Z31" s="94"/>
      <c r="AA31" s="114"/>
      <c r="AB31" s="64"/>
      <c r="AC31" s="114"/>
      <c r="AD31" s="64"/>
      <c r="AE31" s="114"/>
      <c r="AF31" s="64"/>
      <c r="AG31" s="114"/>
      <c r="AH31" s="64"/>
      <c r="AI31" s="114"/>
      <c r="AJ31" s="64"/>
      <c r="AK31" s="114"/>
      <c r="AL31" s="64"/>
      <c r="AM31" s="114"/>
      <c r="AN31" s="64"/>
      <c r="AO31" s="114"/>
      <c r="AP31" s="64"/>
      <c r="AQ31" s="114"/>
      <c r="AR31" s="64"/>
      <c r="AS31" s="147"/>
      <c r="AT31" s="132"/>
    </row>
    <row r="32" spans="1:45" ht="12.75">
      <c r="A32" s="65" t="s">
        <v>73</v>
      </c>
      <c r="B32" s="63">
        <f aca="true" t="shared" si="13" ref="B32:C34">+D32+F32+H32+J32+L32+N32+P32+R32+T32+V32+X32+Z32+AB32+AD32+AF32+AH32+AJ32+AL32+AN32+AP32+AR32</f>
        <v>78841327.94922</v>
      </c>
      <c r="C32" s="63">
        <f t="shared" si="13"/>
        <v>89766519.202</v>
      </c>
      <c r="D32" s="63">
        <v>8168440</v>
      </c>
      <c r="E32" s="113">
        <v>8357735</v>
      </c>
      <c r="F32" s="63">
        <v>53435.71183</v>
      </c>
      <c r="G32" s="113">
        <f>28649.672</f>
        <v>28649.672</v>
      </c>
      <c r="H32" s="63">
        <v>687367.882</v>
      </c>
      <c r="I32" s="113">
        <v>681777.491</v>
      </c>
      <c r="J32" s="63">
        <f>1283688+57262</f>
        <v>1340950</v>
      </c>
      <c r="K32" s="113">
        <f>1287734+53389</f>
        <v>1341123</v>
      </c>
      <c r="L32" s="63">
        <f>1641076.64149+496.8</f>
        <v>1641573.44149</v>
      </c>
      <c r="M32" s="113">
        <f>1890610.107+250.4</f>
        <v>1890860.507</v>
      </c>
      <c r="N32" s="63">
        <f>14597936.037+2638039.804</f>
        <v>17235975.841000002</v>
      </c>
      <c r="O32" s="113">
        <f>16778483.543+3754538.456</f>
        <v>20533021.999</v>
      </c>
      <c r="P32" s="63">
        <f>218834.57935+876965.34055</f>
        <v>1095799.9199</v>
      </c>
      <c r="Q32" s="113">
        <v>878916.039</v>
      </c>
      <c r="R32" s="63">
        <f>760321+814658-414065</f>
        <v>1160914</v>
      </c>
      <c r="S32" s="113">
        <v>0</v>
      </c>
      <c r="T32" s="63">
        <v>6129774.626</v>
      </c>
      <c r="U32" s="113">
        <f>14435185+812540</f>
        <v>15247725</v>
      </c>
      <c r="V32" s="63">
        <v>6965316</v>
      </c>
      <c r="W32" s="113">
        <v>0</v>
      </c>
      <c r="X32" s="63">
        <v>239760</v>
      </c>
      <c r="Y32" s="113">
        <v>502472.642</v>
      </c>
      <c r="Z32" s="93">
        <v>28136</v>
      </c>
      <c r="AA32" s="113">
        <v>0</v>
      </c>
      <c r="AB32" s="63">
        <v>0</v>
      </c>
      <c r="AC32" s="113">
        <v>1243904.579</v>
      </c>
      <c r="AD32" s="63">
        <v>64591.882</v>
      </c>
      <c r="AE32" s="113">
        <v>223962.871</v>
      </c>
      <c r="AF32" s="63">
        <v>0</v>
      </c>
      <c r="AG32" s="113">
        <f>3846245+937324</f>
        <v>4783569</v>
      </c>
      <c r="AH32" s="63">
        <v>0</v>
      </c>
      <c r="AI32" s="113">
        <f>15000+332962.659</f>
        <v>347962.659</v>
      </c>
      <c r="AJ32" s="63">
        <f>4173211+15744366</f>
        <v>19917577</v>
      </c>
      <c r="AK32" s="113">
        <f>2738698+15092194</f>
        <v>17830892</v>
      </c>
      <c r="AL32" s="63">
        <f>7077680.617+280413.571</f>
        <v>7358094.187999999</v>
      </c>
      <c r="AM32" s="113">
        <f>8104646.287+300268.474</f>
        <v>8404914.761</v>
      </c>
      <c r="AN32" s="63">
        <v>5847261.433</v>
      </c>
      <c r="AO32" s="113">
        <v>5818976.884</v>
      </c>
      <c r="AP32" s="63">
        <v>906360.024</v>
      </c>
      <c r="AQ32" s="113">
        <v>631610.096</v>
      </c>
      <c r="AR32" s="63">
        <v>0</v>
      </c>
      <c r="AS32" s="146">
        <v>1018445.002</v>
      </c>
    </row>
    <row r="33" spans="1:45" ht="12.75">
      <c r="A33" s="65" t="s">
        <v>48</v>
      </c>
      <c r="B33" s="63">
        <f t="shared" si="13"/>
        <v>1542168.9870799999</v>
      </c>
      <c r="C33" s="63">
        <f t="shared" si="13"/>
        <v>2165400.245</v>
      </c>
      <c r="D33" s="63">
        <f>213829+2006</f>
        <v>215835</v>
      </c>
      <c r="E33" s="113">
        <f>186653+33037</f>
        <v>219690</v>
      </c>
      <c r="F33" s="63">
        <v>13160.131</v>
      </c>
      <c r="G33" s="113">
        <v>7547.758</v>
      </c>
      <c r="H33" s="63">
        <f>29772.164+4024.45</f>
        <v>33796.614</v>
      </c>
      <c r="I33" s="113">
        <v>22402.763</v>
      </c>
      <c r="J33" s="63">
        <f>64902+7184</f>
        <v>72086</v>
      </c>
      <c r="K33" s="113">
        <v>102409</v>
      </c>
      <c r="L33" s="63">
        <f>23340.74771+76415</f>
        <v>99755.74771</v>
      </c>
      <c r="M33" s="113">
        <v>108390.466</v>
      </c>
      <c r="N33" s="63">
        <v>409511.854</v>
      </c>
      <c r="O33" s="113">
        <v>395088.112</v>
      </c>
      <c r="P33" s="63">
        <v>149349.24537</v>
      </c>
      <c r="Q33" s="113">
        <f>110222.638-48326</f>
        <v>61896.638000000006</v>
      </c>
      <c r="R33" s="63">
        <f>188698+16104</f>
        <v>204802</v>
      </c>
      <c r="S33" s="113">
        <v>0</v>
      </c>
      <c r="T33" s="63">
        <v>16761.987</v>
      </c>
      <c r="U33" s="113">
        <v>27441</v>
      </c>
      <c r="V33" s="63">
        <f>3072-714772</f>
        <v>-711700</v>
      </c>
      <c r="W33" s="113">
        <v>0</v>
      </c>
      <c r="X33" s="63">
        <v>0</v>
      </c>
      <c r="Y33" s="113">
        <v>0</v>
      </c>
      <c r="Z33" s="93">
        <v>749</v>
      </c>
      <c r="AA33" s="113">
        <v>0</v>
      </c>
      <c r="AB33" s="63">
        <v>0</v>
      </c>
      <c r="AC33" s="113">
        <v>0</v>
      </c>
      <c r="AD33" s="63">
        <v>2450.443</v>
      </c>
      <c r="AE33" s="113">
        <v>3697.643</v>
      </c>
      <c r="AF33" s="63">
        <v>0</v>
      </c>
      <c r="AG33" s="113">
        <f>304256+1699</f>
        <v>305955</v>
      </c>
      <c r="AH33" s="63">
        <v>0</v>
      </c>
      <c r="AI33" s="113">
        <f>156131.484+140151</f>
        <v>296282.484</v>
      </c>
      <c r="AJ33" s="63">
        <v>611695</v>
      </c>
      <c r="AK33" s="113">
        <f>632732-569207</f>
        <v>63525</v>
      </c>
      <c r="AL33" s="63">
        <f>304146.402+59787</f>
        <v>363933.402</v>
      </c>
      <c r="AM33" s="113">
        <f>504590.888-37198</f>
        <v>467392.888</v>
      </c>
      <c r="AN33" s="63">
        <v>13159.36</v>
      </c>
      <c r="AO33" s="113">
        <v>8611.003</v>
      </c>
      <c r="AP33" s="63">
        <v>46823.203</v>
      </c>
      <c r="AQ33" s="113">
        <v>66232.469</v>
      </c>
      <c r="AR33" s="63">
        <v>0</v>
      </c>
      <c r="AS33" s="146">
        <v>8838.021</v>
      </c>
    </row>
    <row r="34" spans="1:45" ht="12.75">
      <c r="A34" s="65" t="s">
        <v>49</v>
      </c>
      <c r="B34" s="63">
        <f t="shared" si="13"/>
        <v>2724300.176</v>
      </c>
      <c r="C34" s="63">
        <f t="shared" si="13"/>
        <v>3547869.886</v>
      </c>
      <c r="D34" s="63">
        <v>54864</v>
      </c>
      <c r="E34" s="113">
        <v>72460</v>
      </c>
      <c r="F34" s="63">
        <v>0</v>
      </c>
      <c r="G34" s="113">
        <v>0</v>
      </c>
      <c r="H34" s="63">
        <v>0</v>
      </c>
      <c r="I34" s="113">
        <v>1869</v>
      </c>
      <c r="J34" s="63">
        <v>0</v>
      </c>
      <c r="K34" s="113">
        <v>8689</v>
      </c>
      <c r="L34" s="63">
        <v>0</v>
      </c>
      <c r="M34" s="113">
        <v>95651</v>
      </c>
      <c r="N34" s="63">
        <v>18244</v>
      </c>
      <c r="O34" s="113">
        <v>10658</v>
      </c>
      <c r="P34" s="63">
        <v>44983</v>
      </c>
      <c r="Q34" s="113">
        <v>48326</v>
      </c>
      <c r="R34" s="63">
        <v>0</v>
      </c>
      <c r="S34" s="113">
        <v>0</v>
      </c>
      <c r="T34" s="63">
        <v>1972803.476</v>
      </c>
      <c r="U34" s="113">
        <v>2200604</v>
      </c>
      <c r="V34" s="63">
        <v>51760</v>
      </c>
      <c r="W34" s="113">
        <v>0</v>
      </c>
      <c r="X34" s="63">
        <v>0</v>
      </c>
      <c r="Y34" s="113">
        <v>0</v>
      </c>
      <c r="Z34" s="93">
        <v>0</v>
      </c>
      <c r="AA34" s="113">
        <v>0</v>
      </c>
      <c r="AB34" s="63">
        <v>0</v>
      </c>
      <c r="AC34" s="113">
        <v>0</v>
      </c>
      <c r="AD34" s="63">
        <v>6556</v>
      </c>
      <c r="AE34" s="113">
        <v>21192</v>
      </c>
      <c r="AF34" s="63">
        <v>0</v>
      </c>
      <c r="AG34" s="113">
        <v>77185</v>
      </c>
      <c r="AH34" s="63">
        <v>0</v>
      </c>
      <c r="AI34" s="113">
        <v>-140151.346</v>
      </c>
      <c r="AJ34" s="63">
        <v>131334</v>
      </c>
      <c r="AK34" s="113">
        <v>298707</v>
      </c>
      <c r="AL34" s="63">
        <v>41103.7</v>
      </c>
      <c r="AM34" s="113">
        <v>37199.232</v>
      </c>
      <c r="AN34" s="63">
        <v>160279</v>
      </c>
      <c r="AO34" s="113">
        <v>90573</v>
      </c>
      <c r="AP34" s="63">
        <v>242373</v>
      </c>
      <c r="AQ34" s="113">
        <v>627450</v>
      </c>
      <c r="AR34" s="63">
        <v>0</v>
      </c>
      <c r="AS34" s="146">
        <v>97458</v>
      </c>
    </row>
    <row r="35" spans="1:46" s="16" customFormat="1" ht="12.75">
      <c r="A35" s="66" t="s">
        <v>50</v>
      </c>
      <c r="B35" s="64">
        <f>SUM(B32:B34)</f>
        <v>83107797.1123</v>
      </c>
      <c r="C35" s="64">
        <f>SUM(C32:C34)</f>
        <v>95479789.333</v>
      </c>
      <c r="D35" s="64">
        <f>SUM(D32:D34)</f>
        <v>8439139</v>
      </c>
      <c r="E35" s="114">
        <f>SUM(E32:E34)</f>
        <v>8649885</v>
      </c>
      <c r="F35" s="64">
        <f aca="true" t="shared" si="14" ref="F35:AI35">SUM(F32:F34)</f>
        <v>66595.84283</v>
      </c>
      <c r="G35" s="114">
        <f>SUM(G32:G34)</f>
        <v>36197.43</v>
      </c>
      <c r="H35" s="64">
        <f t="shared" si="14"/>
        <v>721164.496</v>
      </c>
      <c r="I35" s="114">
        <f>SUM(I32:I34)</f>
        <v>706049.2540000001</v>
      </c>
      <c r="J35" s="64">
        <f t="shared" si="14"/>
        <v>1413036</v>
      </c>
      <c r="K35" s="114">
        <f>SUM(K32:K34)</f>
        <v>1452221</v>
      </c>
      <c r="L35" s="64">
        <f t="shared" si="14"/>
        <v>1741329.1892000001</v>
      </c>
      <c r="M35" s="114">
        <f>SUM(M32:M34)</f>
        <v>2094901.973</v>
      </c>
      <c r="N35" s="64">
        <f t="shared" si="14"/>
        <v>17663731.695</v>
      </c>
      <c r="O35" s="114">
        <f>SUM(O32:O34)</f>
        <v>20938768.111</v>
      </c>
      <c r="P35" s="64">
        <f t="shared" si="14"/>
        <v>1290132.16527</v>
      </c>
      <c r="Q35" s="114">
        <f>SUM(Q32:Q34)</f>
        <v>989138.677</v>
      </c>
      <c r="R35" s="64">
        <f t="shared" si="14"/>
        <v>1365716</v>
      </c>
      <c r="S35" s="114">
        <f>SUM(S32:S34)</f>
        <v>0</v>
      </c>
      <c r="T35" s="64">
        <f t="shared" si="14"/>
        <v>8119340.089</v>
      </c>
      <c r="U35" s="114">
        <f>SUM(U32:U34)</f>
        <v>17475770</v>
      </c>
      <c r="V35" s="64">
        <f t="shared" si="14"/>
        <v>6305376</v>
      </c>
      <c r="W35" s="114">
        <f>SUM(W32:W34)</f>
        <v>0</v>
      </c>
      <c r="X35" s="64">
        <f t="shared" si="14"/>
        <v>239760</v>
      </c>
      <c r="Y35" s="114">
        <f>SUM(Y32:Y34)</f>
        <v>502472.642</v>
      </c>
      <c r="Z35" s="94">
        <f t="shared" si="14"/>
        <v>28885</v>
      </c>
      <c r="AA35" s="114">
        <f t="shared" si="14"/>
        <v>0</v>
      </c>
      <c r="AB35" s="64">
        <f t="shared" si="14"/>
        <v>0</v>
      </c>
      <c r="AC35" s="114">
        <f t="shared" si="14"/>
        <v>1243904.579</v>
      </c>
      <c r="AD35" s="64">
        <f t="shared" si="14"/>
        <v>73598.325</v>
      </c>
      <c r="AE35" s="114">
        <f t="shared" si="14"/>
        <v>248852.51400000002</v>
      </c>
      <c r="AF35" s="64">
        <f t="shared" si="14"/>
        <v>0</v>
      </c>
      <c r="AG35" s="114">
        <f t="shared" si="14"/>
        <v>5166709</v>
      </c>
      <c r="AH35" s="64">
        <f t="shared" si="14"/>
        <v>0</v>
      </c>
      <c r="AI35" s="114">
        <f t="shared" si="14"/>
        <v>504093.7969999999</v>
      </c>
      <c r="AJ35" s="64">
        <f aca="true" t="shared" si="15" ref="AJ35:AQ35">SUM(AJ32:AJ34)</f>
        <v>20660606</v>
      </c>
      <c r="AK35" s="114">
        <f t="shared" si="15"/>
        <v>18193124</v>
      </c>
      <c r="AL35" s="64">
        <f t="shared" si="15"/>
        <v>7763131.289999999</v>
      </c>
      <c r="AM35" s="114">
        <f t="shared" si="15"/>
        <v>8909506.881000001</v>
      </c>
      <c r="AN35" s="64">
        <f t="shared" si="15"/>
        <v>6020699.7930000005</v>
      </c>
      <c r="AO35" s="114">
        <f t="shared" si="15"/>
        <v>5918160.886999999</v>
      </c>
      <c r="AP35" s="64">
        <f t="shared" si="15"/>
        <v>1195556.227</v>
      </c>
      <c r="AQ35" s="114">
        <f t="shared" si="15"/>
        <v>1325292.565</v>
      </c>
      <c r="AR35" s="64">
        <f>SUM(AR32:AR34)</f>
        <v>0</v>
      </c>
      <c r="AS35" s="147">
        <f>SUM(AS32:AS34)</f>
        <v>1124741.023</v>
      </c>
      <c r="AT35" s="132"/>
    </row>
    <row r="36" spans="1:46" s="16" customFormat="1" ht="12.75">
      <c r="A36" s="66" t="s">
        <v>51</v>
      </c>
      <c r="B36" s="64">
        <f>+B28-B32</f>
        <v>2325899.7620699853</v>
      </c>
      <c r="C36" s="64">
        <f>+C28-C32</f>
        <v>7337436.693000004</v>
      </c>
      <c r="D36" s="64">
        <f>+D28-D32</f>
        <v>67194</v>
      </c>
      <c r="E36" s="114">
        <f>+E28-E32</f>
        <v>96042</v>
      </c>
      <c r="F36" s="64">
        <f aca="true" t="shared" si="16" ref="F36:AI36">+F28-F32</f>
        <v>-51447.52183</v>
      </c>
      <c r="G36" s="114">
        <f>+G28-G32</f>
        <v>1949.844000000001</v>
      </c>
      <c r="H36" s="64">
        <f t="shared" si="16"/>
        <v>31369.310999999987</v>
      </c>
      <c r="I36" s="114">
        <f>+I28-I32</f>
        <v>17152.01099999994</v>
      </c>
      <c r="J36" s="64">
        <f t="shared" si="16"/>
        <v>88171</v>
      </c>
      <c r="K36" s="114">
        <f>+K28-K32</f>
        <v>46988</v>
      </c>
      <c r="L36" s="64">
        <f t="shared" si="16"/>
        <v>158032.32550999988</v>
      </c>
      <c r="M36" s="114">
        <f>+M28-M32</f>
        <v>183738.5220000001</v>
      </c>
      <c r="N36" s="64">
        <f t="shared" si="16"/>
        <v>816100.4629999995</v>
      </c>
      <c r="O36" s="114">
        <f>+O28-O32</f>
        <v>719087.0869999975</v>
      </c>
      <c r="P36" s="64">
        <f t="shared" si="16"/>
        <v>94183.55138999992</v>
      </c>
      <c r="Q36" s="114">
        <f>+Q28-Q32</f>
        <v>95820.625</v>
      </c>
      <c r="R36" s="64">
        <f t="shared" si="16"/>
        <v>-173261</v>
      </c>
      <c r="S36" s="114">
        <f>+S28-S32</f>
        <v>0</v>
      </c>
      <c r="T36" s="64">
        <f t="shared" si="16"/>
        <v>2989347.534</v>
      </c>
      <c r="U36" s="114">
        <f>+U28-U32</f>
        <v>5369099</v>
      </c>
      <c r="V36" s="64">
        <f t="shared" si="16"/>
        <v>-659940</v>
      </c>
      <c r="W36" s="114">
        <f>+W28-W32</f>
        <v>0</v>
      </c>
      <c r="X36" s="64">
        <f t="shared" si="16"/>
        <v>32967</v>
      </c>
      <c r="Y36" s="114">
        <f>+Y28-Y32</f>
        <v>42172.21999999997</v>
      </c>
      <c r="Z36" s="94">
        <f t="shared" si="16"/>
        <v>-28136</v>
      </c>
      <c r="AA36" s="114">
        <f t="shared" si="16"/>
        <v>0</v>
      </c>
      <c r="AB36" s="64">
        <f t="shared" si="16"/>
        <v>0</v>
      </c>
      <c r="AC36" s="114">
        <f t="shared" si="16"/>
        <v>202083.4870000002</v>
      </c>
      <c r="AD36" s="64">
        <f t="shared" si="16"/>
        <v>19881.767999999996</v>
      </c>
      <c r="AE36" s="114">
        <f t="shared" si="16"/>
        <v>60328.49399999998</v>
      </c>
      <c r="AF36" s="64">
        <f t="shared" si="16"/>
        <v>0</v>
      </c>
      <c r="AG36" s="114">
        <f t="shared" si="16"/>
        <v>-363667</v>
      </c>
      <c r="AH36" s="64">
        <f t="shared" si="16"/>
        <v>0</v>
      </c>
      <c r="AI36" s="114">
        <f t="shared" si="16"/>
        <v>22324.51900000003</v>
      </c>
      <c r="AJ36" s="64">
        <f aca="true" t="shared" si="17" ref="AJ36:AS36">+AJ28-AJ32</f>
        <v>1395622</v>
      </c>
      <c r="AK36" s="114">
        <f t="shared" si="17"/>
        <v>659231</v>
      </c>
      <c r="AL36" s="64">
        <f t="shared" si="17"/>
        <v>-2923566.391999999</v>
      </c>
      <c r="AM36" s="114">
        <f t="shared" si="17"/>
        <v>-1264836.455</v>
      </c>
      <c r="AN36" s="64">
        <f t="shared" si="17"/>
        <v>216813.72800000012</v>
      </c>
      <c r="AO36" s="114">
        <f t="shared" si="17"/>
        <v>266777.3530000001</v>
      </c>
      <c r="AP36" s="64">
        <f t="shared" si="17"/>
        <v>252567.9950000001</v>
      </c>
      <c r="AQ36" s="114">
        <f t="shared" si="17"/>
        <v>910966.7229999999</v>
      </c>
      <c r="AR36" s="64">
        <f t="shared" si="17"/>
        <v>0</v>
      </c>
      <c r="AS36" s="147">
        <f t="shared" si="17"/>
        <v>272179.2629999999</v>
      </c>
      <c r="AT36" s="132"/>
    </row>
    <row r="37" spans="1:46" s="16" customFormat="1" ht="13.5" thickBot="1">
      <c r="A37" s="157" t="s">
        <v>52</v>
      </c>
      <c r="B37" s="158">
        <f>+B30-B35</f>
        <v>2979205.754009992</v>
      </c>
      <c r="C37" s="158">
        <f>+C30-C35</f>
        <v>7283726.069000006</v>
      </c>
      <c r="D37" s="158">
        <f>+D30-D35</f>
        <v>0</v>
      </c>
      <c r="E37" s="159">
        <f>+E30-E35</f>
        <v>2007</v>
      </c>
      <c r="F37" s="158">
        <f aca="true" t="shared" si="18" ref="F37:AI37">+F30-F35</f>
        <v>-64605.43355999999</v>
      </c>
      <c r="G37" s="159">
        <f>+G30-G35</f>
        <v>-5597.117000000002</v>
      </c>
      <c r="H37" s="158">
        <f t="shared" si="18"/>
        <v>117.36799999990035</v>
      </c>
      <c r="I37" s="159">
        <f>+I30-I35</f>
        <v>-7119.752000000095</v>
      </c>
      <c r="J37" s="158">
        <f t="shared" si="18"/>
        <v>23175</v>
      </c>
      <c r="K37" s="159">
        <f>+K30-K35</f>
        <v>-2959</v>
      </c>
      <c r="L37" s="158">
        <f t="shared" si="18"/>
        <v>142391.22754999995</v>
      </c>
      <c r="M37" s="159">
        <f>+M30-M35</f>
        <v>124148.06400000001</v>
      </c>
      <c r="N37" s="158">
        <f t="shared" si="18"/>
        <v>609861.1150000021</v>
      </c>
      <c r="O37" s="159">
        <f>+O30-O35</f>
        <v>432728.85699999705</v>
      </c>
      <c r="P37" s="158">
        <f t="shared" si="18"/>
        <v>9879.631019999972</v>
      </c>
      <c r="Q37" s="159">
        <f>+Q30-Q35</f>
        <v>61492.56500000006</v>
      </c>
      <c r="R37" s="158">
        <f t="shared" si="18"/>
        <v>0</v>
      </c>
      <c r="S37" s="159">
        <f>+S30-S35</f>
        <v>0</v>
      </c>
      <c r="T37" s="158">
        <f t="shared" si="18"/>
        <v>1187459.4790000003</v>
      </c>
      <c r="U37" s="159">
        <f>+U30-U35</f>
        <v>3579504</v>
      </c>
      <c r="V37" s="158">
        <f t="shared" si="18"/>
        <v>0</v>
      </c>
      <c r="W37" s="159">
        <f>+W30-W35</f>
        <v>0</v>
      </c>
      <c r="X37" s="158">
        <f t="shared" si="18"/>
        <v>32967</v>
      </c>
      <c r="Y37" s="159">
        <f>+Y30-Y35</f>
        <v>42172.21999999997</v>
      </c>
      <c r="Z37" s="160">
        <f t="shared" si="18"/>
        <v>-28885</v>
      </c>
      <c r="AA37" s="159">
        <f t="shared" si="18"/>
        <v>0</v>
      </c>
      <c r="AB37" s="158">
        <f t="shared" si="18"/>
        <v>0</v>
      </c>
      <c r="AC37" s="159">
        <f t="shared" si="18"/>
        <v>239056.22400000016</v>
      </c>
      <c r="AD37" s="158">
        <f t="shared" si="18"/>
        <v>10875.732999999993</v>
      </c>
      <c r="AE37" s="159">
        <f t="shared" si="18"/>
        <v>37782.97899999999</v>
      </c>
      <c r="AF37" s="158">
        <f t="shared" si="18"/>
        <v>0</v>
      </c>
      <c r="AG37" s="159">
        <f t="shared" si="18"/>
        <v>156710</v>
      </c>
      <c r="AH37" s="158">
        <f t="shared" si="18"/>
        <v>0</v>
      </c>
      <c r="AI37" s="159">
        <f t="shared" si="18"/>
        <v>-133806.6189999999</v>
      </c>
      <c r="AJ37" s="158">
        <f aca="true" t="shared" si="19" ref="AJ37:AS37">+AJ30-AJ35</f>
        <v>874807</v>
      </c>
      <c r="AK37" s="159">
        <f t="shared" si="19"/>
        <v>678001</v>
      </c>
      <c r="AL37" s="158">
        <f t="shared" si="19"/>
        <v>23665.966000000946</v>
      </c>
      <c r="AM37" s="159">
        <f t="shared" si="19"/>
        <v>112724.71299999952</v>
      </c>
      <c r="AN37" s="158">
        <f t="shared" si="19"/>
        <v>66068.60199999996</v>
      </c>
      <c r="AO37" s="159">
        <f t="shared" si="19"/>
        <v>179821.67100000102</v>
      </c>
      <c r="AP37" s="158">
        <f t="shared" si="19"/>
        <v>91428.06600000011</v>
      </c>
      <c r="AQ37" s="159">
        <f t="shared" si="19"/>
        <v>1592032.221</v>
      </c>
      <c r="AR37" s="158">
        <f t="shared" si="19"/>
        <v>0</v>
      </c>
      <c r="AS37" s="160">
        <f t="shared" si="19"/>
        <v>195027.04299999983</v>
      </c>
      <c r="AT37" s="132"/>
    </row>
    <row r="38" spans="1:21" ht="12.75">
      <c r="A38" s="17" t="s">
        <v>154</v>
      </c>
      <c r="R38" s="123"/>
      <c r="U38" s="83"/>
    </row>
    <row r="39" spans="5:45" ht="12.75">
      <c r="E39" s="83"/>
      <c r="AI39" s="83"/>
      <c r="AJ39" s="83"/>
      <c r="AK39" s="83"/>
      <c r="AL39" s="83"/>
      <c r="AM39" s="83"/>
      <c r="AS39" s="85"/>
    </row>
    <row r="40" spans="1:46" ht="15">
      <c r="A40" s="161" t="s">
        <v>76</v>
      </c>
      <c r="G40" s="111"/>
      <c r="AT40"/>
    </row>
    <row r="41" spans="1:46" ht="12.75">
      <c r="A41" s="55" t="s">
        <v>53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82"/>
      <c r="Z41" s="67"/>
      <c r="AT41"/>
    </row>
    <row r="42" spans="1:46" ht="12.75">
      <c r="A42" s="76" t="s">
        <v>72</v>
      </c>
      <c r="B42" s="75">
        <f>'SERV AEROPORTUARIOS'!B10/'SERV AEROPORTUARIOS'!B15</f>
        <v>1.4203830654180802</v>
      </c>
      <c r="C42" s="75">
        <f>'SERV AEROPORTUARIOS'!C10/'SERV AEROPORTUARIOS'!C15</f>
        <v>1.3812888836989838</v>
      </c>
      <c r="D42" s="75">
        <f>'SERV AEROPORTUARIOS'!D10/'SERV AEROPORTUARIOS'!D15</f>
        <v>0.9855297442088544</v>
      </c>
      <c r="E42" s="75">
        <f>'SERV AEROPORTUARIOS'!E10/'SERV AEROPORTUARIOS'!E15</f>
        <v>0.9925239679002985</v>
      </c>
      <c r="F42" s="75">
        <f>'SERV AEROPORTUARIOS'!F10/'SERV AEROPORTUARIOS'!F15</f>
        <v>0.2256959519150423</v>
      </c>
      <c r="G42" s="75">
        <f>'SERV AEROPORTUARIOS'!G10/'SERV AEROPORTUARIOS'!G15</f>
        <v>0.5230058045148123</v>
      </c>
      <c r="H42" s="75">
        <f>'SERV AEROPORTUARIOS'!H10/'SERV AEROPORTUARIOS'!H15</f>
        <v>1.4844132526269331</v>
      </c>
      <c r="I42" s="75">
        <f>'SERV AEROPORTUARIOS'!I10/'SERV AEROPORTUARIOS'!I15</f>
        <v>1.8144745815734076</v>
      </c>
      <c r="J42" s="75">
        <f>'SERV AEROPORTUARIOS'!J10/'SERV AEROPORTUARIOS'!J15</f>
        <v>1.9383419794838834</v>
      </c>
      <c r="K42" s="75">
        <f>'SERV AEROPORTUARIOS'!K10/'SERV AEROPORTUARIOS'!K15</f>
        <v>2.3483563626284014</v>
      </c>
      <c r="L42" s="75">
        <f>'SERV AEROPORTUARIOS'!L10/'SERV AEROPORTUARIOS'!L15</f>
        <v>1.7193707219608543</v>
      </c>
      <c r="M42" s="75">
        <f>'SERV AEROPORTUARIOS'!M10/'SERV AEROPORTUARIOS'!M15</f>
        <v>1.4874331768224078</v>
      </c>
      <c r="N42" s="75">
        <f>'SERV AEROPORTUARIOS'!N10/'SERV AEROPORTUARIOS'!N15</f>
        <v>1.079041920648253</v>
      </c>
      <c r="O42" s="75">
        <f>'SERV AEROPORTUARIOS'!O10/'SERV AEROPORTUARIOS'!O15</f>
        <v>0.8596453178242288</v>
      </c>
      <c r="P42" s="75">
        <f>'SERV AEROPORTUARIOS'!P10/'SERV AEROPORTUARIOS'!P15</f>
        <v>1.7745563442864005</v>
      </c>
      <c r="Q42" s="75">
        <f>'SERV AEROPORTUARIOS'!Q10/'SERV AEROPORTUARIOS'!Q15</f>
        <v>3.4303172168364413</v>
      </c>
      <c r="R42" s="75">
        <f>'SERV AEROPORTUARIOS'!R10/'SERV AEROPORTUARIOS'!R15</f>
        <v>0.9817185543660228</v>
      </c>
      <c r="S42" s="75" t="e">
        <f>'SERV AEROPORTUARIOS'!S10/'SERV AEROPORTUARIOS'!S15</f>
        <v>#DIV/0!</v>
      </c>
      <c r="T42" s="75">
        <f>'SERV AEROPORTUARIOS'!T10/'SERV AEROPORTUARIOS'!T15</f>
        <v>1.5272624265125356</v>
      </c>
      <c r="U42" s="75">
        <f>'SERV AEROPORTUARIOS'!U10/'SERV AEROPORTUARIOS'!U15</f>
        <v>1.5270301821804948</v>
      </c>
      <c r="V42" s="75">
        <f>'SERV AEROPORTUARIOS'!V10/'SERV AEROPORTUARIOS'!V15</f>
        <v>3.314847744182638</v>
      </c>
      <c r="W42" s="75" t="e">
        <f>'SERV AEROPORTUARIOS'!W10/'SERV AEROPORTUARIOS'!W15</f>
        <v>#DIV/0!</v>
      </c>
      <c r="X42" s="75">
        <f>'SERV AEROPORTUARIOS'!X10/'SERV AEROPORTUARIOS'!X15</f>
        <v>1.8190881062653645</v>
      </c>
      <c r="Y42" s="75">
        <f>'SERV AEROPORTUARIOS'!Y10/'SERV AEROPORTUARIOS'!Y15</f>
        <v>1.932410226187331</v>
      </c>
      <c r="Z42" s="75">
        <f>'SERV AEROPORTUARIOS'!Z10/'SERV AEROPORTUARIOS'!Z15</f>
        <v>0.002518038462791617</v>
      </c>
      <c r="AA42" s="75" t="e">
        <f>'SERV AEROPORTUARIOS'!AA10/'SERV AEROPORTUARIOS'!AA15</f>
        <v>#DIV/0!</v>
      </c>
      <c r="AB42" s="75" t="e">
        <f>'SERV AEROPORTUARIOS'!AB10/'SERV AEROPORTUARIOS'!AB15</f>
        <v>#DIV/0!</v>
      </c>
      <c r="AC42" s="75">
        <f>'SERV AEROPORTUARIOS'!AC10/'SERV AEROPORTUARIOS'!AC15</f>
        <v>3.154489757507532</v>
      </c>
      <c r="AD42" s="75">
        <f>'SERV AEROPORTUARIOS'!AD10/'SERV AEROPORTUARIOS'!AD15</f>
        <v>2.272640979541379</v>
      </c>
      <c r="AE42" s="75">
        <f>'SERV AEROPORTUARIOS'!AE10/'SERV AEROPORTUARIOS'!AE15</f>
        <v>1.8016047210356045</v>
      </c>
      <c r="AF42" s="75" t="e">
        <f>'SERV AEROPORTUARIOS'!AF10/'SERV AEROPORTUARIOS'!AF15</f>
        <v>#DIV/0!</v>
      </c>
      <c r="AG42" s="75">
        <f>'SERV AEROPORTUARIOS'!AG10/'SERV AEROPORTUARIOS'!AG15</f>
        <v>0.4413772699458252</v>
      </c>
      <c r="AH42" s="75" t="e">
        <f>'SERV AEROPORTUARIOS'!AH10/'SERV AEROPORTUARIOS'!AH15</f>
        <v>#DIV/0!</v>
      </c>
      <c r="AI42" s="75">
        <f>'SERV AEROPORTUARIOS'!AI10/'SERV AEROPORTUARIOS'!AI15</f>
        <v>0.7487812391930855</v>
      </c>
      <c r="AJ42" s="75">
        <f>'SERV AEROPORTUARIOS'!AJ10/'SERV AEROPORTUARIOS'!AJ15</f>
        <v>1.497648854961832</v>
      </c>
      <c r="AK42" s="75">
        <f>'SERV AEROPORTUARIOS'!AK10/'SERV AEROPORTUARIOS'!AK15</f>
        <v>1.582097044645416</v>
      </c>
      <c r="AL42" s="75">
        <f>'SERV AEROPORTUARIOS'!AL10/'SERV AEROPORTUARIOS'!AL15</f>
        <v>2.0671254117474516</v>
      </c>
      <c r="AM42" s="75">
        <f>'SERV AEROPORTUARIOS'!AM10/'SERV AEROPORTUARIOS'!AM15</f>
        <v>2.308078702716993</v>
      </c>
      <c r="AN42" s="75">
        <f>'SERV AEROPORTUARIOS'!AN10/'SERV AEROPORTUARIOS'!AN15</f>
        <v>4.881703893358475</v>
      </c>
      <c r="AO42" s="75">
        <f>'SERV AEROPORTUARIOS'!AO10/'SERV AEROPORTUARIOS'!AO15</f>
        <v>1.5233377973960827</v>
      </c>
      <c r="AP42" s="75">
        <f>'SERV AEROPORTUARIOS'!AP10/'SERV AEROPORTUARIOS'!AP15</f>
        <v>1.2056755135966102</v>
      </c>
      <c r="AQ42" s="75">
        <f>'SERV AEROPORTUARIOS'!AQ10/'SERV AEROPORTUARIOS'!AQ15</f>
        <v>1.2760533502157545</v>
      </c>
      <c r="AR42" s="75" t="e">
        <f>'SERV AEROPORTUARIOS'!AR10/'SERV AEROPORTUARIOS'!AR15</f>
        <v>#DIV/0!</v>
      </c>
      <c r="AS42" s="75">
        <f>'SERV AEROPORTUARIOS'!AS10/'SERV AEROPORTUARIOS'!AS15</f>
        <v>7.109055088050897</v>
      </c>
      <c r="AT42"/>
    </row>
    <row r="43" spans="1:46" ht="12.75">
      <c r="A43" s="55" t="s">
        <v>54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/>
    </row>
    <row r="44" spans="1:46" ht="12.75">
      <c r="A44" s="77" t="s">
        <v>20</v>
      </c>
      <c r="B44" s="75">
        <f>+'SERV AEROPORTUARIOS'!B15/'SERV AEROPORTUARIOS'!B18</f>
        <v>0.8726233734313825</v>
      </c>
      <c r="C44" s="75">
        <f>+'SERV AEROPORTUARIOS'!C15/'SERV AEROPORTUARIOS'!C18</f>
        <v>0.8927545410157459</v>
      </c>
      <c r="D44" s="75">
        <f>+'SERV AEROPORTUARIOS'!D15/'SERV AEROPORTUARIOS'!D18</f>
        <v>0.8999710868808269</v>
      </c>
      <c r="E44" s="75">
        <f>+'SERV AEROPORTUARIOS'!E15/'SERV AEROPORTUARIOS'!E18</f>
        <v>0.9277777641759887</v>
      </c>
      <c r="F44" s="75">
        <f>+'SERV AEROPORTUARIOS'!F15/'SERV AEROPORTUARIOS'!F18</f>
        <v>1</v>
      </c>
      <c r="G44" s="75">
        <f>+'SERV AEROPORTUARIOS'!G15/'SERV AEROPORTUARIOS'!G18</f>
        <v>1</v>
      </c>
      <c r="H44" s="75">
        <f>+'SERV AEROPORTUARIOS'!H15/'SERV AEROPORTUARIOS'!H18</f>
        <v>1</v>
      </c>
      <c r="I44" s="75">
        <f>+'SERV AEROPORTUARIOS'!I15/'SERV AEROPORTUARIOS'!I18</f>
        <v>1</v>
      </c>
      <c r="J44" s="75">
        <f>+'SERV AEROPORTUARIOS'!J15/'SERV AEROPORTUARIOS'!J18</f>
        <v>1</v>
      </c>
      <c r="K44" s="75">
        <f>+'SERV AEROPORTUARIOS'!K15/'SERV AEROPORTUARIOS'!K18</f>
        <v>1</v>
      </c>
      <c r="L44" s="75">
        <f>+'SERV AEROPORTUARIOS'!L15/'SERV AEROPORTUARIOS'!L18</f>
        <v>0.8620640344937467</v>
      </c>
      <c r="M44" s="75">
        <f>+'SERV AEROPORTUARIOS'!M15/'SERV AEROPORTUARIOS'!M18</f>
        <v>0.896727860723998</v>
      </c>
      <c r="N44" s="75">
        <f>+'SERV AEROPORTUARIOS'!N15/'SERV AEROPORTUARIOS'!N18</f>
        <v>0.7317230980552843</v>
      </c>
      <c r="O44" s="75">
        <f>+'SERV AEROPORTUARIOS'!O15/'SERV AEROPORTUARIOS'!O18</f>
        <v>0.7579690453005384</v>
      </c>
      <c r="P44" s="75">
        <f>+'SERV AEROPORTUARIOS'!P15/'SERV AEROPORTUARIOS'!P18</f>
        <v>0.951221071390787</v>
      </c>
      <c r="Q44" s="75">
        <f>+'SERV AEROPORTUARIOS'!Q15/'SERV AEROPORTUARIOS'!Q18</f>
        <v>0.5413347147340591</v>
      </c>
      <c r="R44" s="75">
        <f>+'SERV AEROPORTUARIOS'!R15/'SERV AEROPORTUARIOS'!R18</f>
        <v>0.8864004439297132</v>
      </c>
      <c r="S44" s="75" t="e">
        <f>+'SERV AEROPORTUARIOS'!S15/'SERV AEROPORTUARIOS'!S18</f>
        <v>#DIV/0!</v>
      </c>
      <c r="T44" s="75">
        <f>+'SERV AEROPORTUARIOS'!T15/'SERV AEROPORTUARIOS'!T18</f>
        <v>1</v>
      </c>
      <c r="U44" s="75">
        <f>+'SERV AEROPORTUARIOS'!U15/'SERV AEROPORTUARIOS'!U18</f>
        <v>1</v>
      </c>
      <c r="V44" s="75">
        <f>+'SERV AEROPORTUARIOS'!V15/'SERV AEROPORTUARIOS'!V18</f>
        <v>1</v>
      </c>
      <c r="W44" s="75" t="e">
        <f>+'SERV AEROPORTUARIOS'!W15/'SERV AEROPORTUARIOS'!W18</f>
        <v>#DIV/0!</v>
      </c>
      <c r="X44" s="75">
        <f>+'SERV AEROPORTUARIOS'!X15/'SERV AEROPORTUARIOS'!X18</f>
        <v>1</v>
      </c>
      <c r="Y44" s="75">
        <f>+'SERV AEROPORTUARIOS'!Y15/'SERV AEROPORTUARIOS'!Y18</f>
        <v>1</v>
      </c>
      <c r="Z44" s="75">
        <f>+'SERV AEROPORTUARIOS'!Z15/'SERV AEROPORTUARIOS'!Z18</f>
        <v>1</v>
      </c>
      <c r="AA44" s="75" t="e">
        <f>+'SERV AEROPORTUARIOS'!AA15/'SERV AEROPORTUARIOS'!AA18</f>
        <v>#DIV/0!</v>
      </c>
      <c r="AB44" s="75" t="e">
        <f>+'SERV AEROPORTUARIOS'!AB15/'SERV AEROPORTUARIOS'!AB18</f>
        <v>#DIV/0!</v>
      </c>
      <c r="AC44" s="75">
        <f>+'SERV AEROPORTUARIOS'!AC15/'SERV AEROPORTUARIOS'!AC18</f>
        <v>1</v>
      </c>
      <c r="AD44" s="75">
        <f>+'SERV AEROPORTUARIOS'!AD15/'SERV AEROPORTUARIOS'!AD18</f>
        <v>1</v>
      </c>
      <c r="AE44" s="75">
        <f>+'SERV AEROPORTUARIOS'!AE15/'SERV AEROPORTUARIOS'!AE18</f>
        <v>1</v>
      </c>
      <c r="AF44" s="75" t="e">
        <f>+'SERV AEROPORTUARIOS'!AF15/'SERV AEROPORTUARIOS'!AF18</f>
        <v>#DIV/0!</v>
      </c>
      <c r="AG44" s="75">
        <f>+'SERV AEROPORTUARIOS'!AG15/'SERV AEROPORTUARIOS'!AG18</f>
        <v>1</v>
      </c>
      <c r="AH44" s="75" t="e">
        <f>+'SERV AEROPORTUARIOS'!AH15/'SERV AEROPORTUARIOS'!AH18</f>
        <v>#DIV/0!</v>
      </c>
      <c r="AI44" s="75">
        <f>+'SERV AEROPORTUARIOS'!AI15/'SERV AEROPORTUARIOS'!AI18</f>
        <v>1</v>
      </c>
      <c r="AJ44" s="75">
        <f>+'SERV AEROPORTUARIOS'!AJ15/'SERV AEROPORTUARIOS'!AJ18</f>
        <v>0.9383053682074902</v>
      </c>
      <c r="AK44" s="75">
        <f>+'SERV AEROPORTUARIOS'!AK15/'SERV AEROPORTUARIOS'!AK18</f>
        <v>0.932713003620323</v>
      </c>
      <c r="AL44" s="75">
        <f>+'SERV AEROPORTUARIOS'!AL15/'SERV AEROPORTUARIOS'!AL18</f>
        <v>0.5203903226350673</v>
      </c>
      <c r="AM44" s="75">
        <f>+'SERV AEROPORTUARIOS'!AM15/'SERV AEROPORTUARIOS'!AM18</f>
        <v>0.5142229970813442</v>
      </c>
      <c r="AN44" s="75">
        <f>+'SERV AEROPORTUARIOS'!AN15/'SERV AEROPORTUARIOS'!AN18</f>
        <v>1</v>
      </c>
      <c r="AO44" s="75">
        <f>+'SERV AEROPORTUARIOS'!AO15/'SERV AEROPORTUARIOS'!AO18</f>
        <v>1</v>
      </c>
      <c r="AP44" s="75">
        <f>+'SERV AEROPORTUARIOS'!AP15/'SERV AEROPORTUARIOS'!AP18</f>
        <v>1</v>
      </c>
      <c r="AQ44" s="75">
        <f>+'SERV AEROPORTUARIOS'!AQ15/'SERV AEROPORTUARIOS'!AQ18</f>
        <v>1</v>
      </c>
      <c r="AR44" s="75" t="e">
        <f>+'SERV AEROPORTUARIOS'!AR15/'SERV AEROPORTUARIOS'!AR18</f>
        <v>#DIV/0!</v>
      </c>
      <c r="AS44" s="75">
        <f>+'SERV AEROPORTUARIOS'!AS15/'SERV AEROPORTUARIOS'!AS18</f>
        <v>1</v>
      </c>
      <c r="AT44"/>
    </row>
    <row r="45" spans="1:46" ht="12.75">
      <c r="A45" s="77" t="s">
        <v>55</v>
      </c>
      <c r="B45" s="75">
        <f>'SERV AEROPORTUARIOS'!B18/'SERV AEROPORTUARIOS'!B24</f>
        <v>1.3241065126228144</v>
      </c>
      <c r="C45" s="75">
        <f>'SERV AEROPORTUARIOS'!C18/'SERV AEROPORTUARIOS'!C24</f>
        <v>1.3791493885582906</v>
      </c>
      <c r="D45" s="75">
        <f>'SERV AEROPORTUARIOS'!D18/'SERV AEROPORTUARIOS'!D24</f>
        <v>3.6652373927389856</v>
      </c>
      <c r="E45" s="75">
        <f>'SERV AEROPORTUARIOS'!E18/'SERV AEROPORTUARIOS'!E24</f>
        <v>4.0970763088733895</v>
      </c>
      <c r="F45" s="75">
        <f>'SERV AEROPORTUARIOS'!F18/'SERV AEROPORTUARIOS'!F24</f>
        <v>0.7517835446974822</v>
      </c>
      <c r="G45" s="75">
        <f>'SERV AEROPORTUARIOS'!G18/'SERV AEROPORTUARIOS'!G24</f>
        <v>0.6494517019245193</v>
      </c>
      <c r="H45" s="75">
        <f>'SERV AEROPORTUARIOS'!H18/'SERV AEROPORTUARIOS'!H24</f>
        <v>0.8601109320112176</v>
      </c>
      <c r="I45" s="75">
        <f>'SERV AEROPORTUARIOS'!I18/'SERV AEROPORTUARIOS'!I24</f>
        <v>0.4389862677346266</v>
      </c>
      <c r="J45" s="75">
        <f>'SERV AEROPORTUARIOS'!J18/'SERV AEROPORTUARIOS'!J24</f>
        <v>0.2561982769041777</v>
      </c>
      <c r="K45" s="75">
        <f>'SERV AEROPORTUARIOS'!K18/'SERV AEROPORTUARIOS'!K24</f>
        <v>0.20312407933346688</v>
      </c>
      <c r="L45" s="75">
        <f>'SERV AEROPORTUARIOS'!L18/'SERV AEROPORTUARIOS'!L24</f>
        <v>0.43507389133251567</v>
      </c>
      <c r="M45" s="75">
        <f>'SERV AEROPORTUARIOS'!M18/'SERV AEROPORTUARIOS'!M24</f>
        <v>0.5637372820267263</v>
      </c>
      <c r="N45" s="75">
        <f>'SERV AEROPORTUARIOS'!N18/'SERV AEROPORTUARIOS'!N24</f>
        <v>2.1002785662856325</v>
      </c>
      <c r="O45" s="75">
        <f>'SERV AEROPORTUARIOS'!O18/'SERV AEROPORTUARIOS'!O24</f>
        <v>2.55596813247567</v>
      </c>
      <c r="P45" s="75">
        <f>'SERV AEROPORTUARIOS'!P18/'SERV AEROPORTUARIOS'!P24</f>
        <v>1.4073856186669242</v>
      </c>
      <c r="Q45" s="75">
        <f>'SERV AEROPORTUARIOS'!Q18/'SERV AEROPORTUARIOS'!Q24</f>
        <v>1.0993761782940743</v>
      </c>
      <c r="R45" s="75">
        <f>'SERV AEROPORTUARIOS'!R18/'SERV AEROPORTUARIOS'!R24</f>
        <v>0.4643199634069465</v>
      </c>
      <c r="S45" s="75" t="e">
        <f>'SERV AEROPORTUARIOS'!S18/'SERV AEROPORTUARIOS'!S24</f>
        <v>#DIV/0!</v>
      </c>
      <c r="T45" s="75">
        <f>'SERV AEROPORTUARIOS'!T18/'SERV AEROPORTUARIOS'!T24</f>
        <v>2.0192915444465878</v>
      </c>
      <c r="U45" s="75">
        <f>'SERV AEROPORTUARIOS'!U18/'SERV AEROPORTUARIOS'!U24</f>
        <v>1.5713040063706651</v>
      </c>
      <c r="V45" s="75">
        <f>'SERV AEROPORTUARIOS'!V18/'SERV AEROPORTUARIOS'!V24</f>
        <v>0.43199385467707957</v>
      </c>
      <c r="W45" s="75" t="e">
        <f>'SERV AEROPORTUARIOS'!W18/'SERV AEROPORTUARIOS'!W24</f>
        <v>#DIV/0!</v>
      </c>
      <c r="X45" s="75">
        <f>'SERV AEROPORTUARIOS'!X18/'SERV AEROPORTUARIOS'!X24</f>
        <v>0.5134701620045888</v>
      </c>
      <c r="Y45" s="75">
        <f>'SERV AEROPORTUARIOS'!Y18/'SERV AEROPORTUARIOS'!Y24</f>
        <v>0.5662869439597229</v>
      </c>
      <c r="Z45" s="75">
        <f>'SERV AEROPORTUARIOS'!Z18/'SERV AEROPORTUARIOS'!Z24</f>
        <v>-1.0025243949864628</v>
      </c>
      <c r="AA45" s="75" t="e">
        <f>'SERV AEROPORTUARIOS'!AA18/'SERV AEROPORTUARIOS'!AA24</f>
        <v>#DIV/0!</v>
      </c>
      <c r="AB45" s="75" t="e">
        <f>'SERV AEROPORTUARIOS'!AB18/'SERV AEROPORTUARIOS'!AB24</f>
        <v>#DIV/0!</v>
      </c>
      <c r="AC45" s="75">
        <f>'SERV AEROPORTUARIOS'!AC18/'SERV AEROPORTUARIOS'!AC24</f>
        <v>0.3284579788136009</v>
      </c>
      <c r="AD45" s="75">
        <f>'SERV AEROPORTUARIOS'!AD18/'SERV AEROPORTUARIOS'!AD24</f>
        <v>0.6522813370762041</v>
      </c>
      <c r="AE45" s="75">
        <f>'SERV AEROPORTUARIOS'!AE18/'SERV AEROPORTUARIOS'!AE24</f>
        <v>1.159280691774688</v>
      </c>
      <c r="AF45" s="75" t="e">
        <f>'SERV AEROPORTUARIOS'!AF18/'SERV AEROPORTUARIOS'!AF24</f>
        <v>#DIV/0!</v>
      </c>
      <c r="AG45" s="75">
        <f>'SERV AEROPORTUARIOS'!AG18/'SERV AEROPORTUARIOS'!AG24</f>
        <v>2.6460939179854046</v>
      </c>
      <c r="AH45" s="75" t="e">
        <f>'SERV AEROPORTUARIOS'!AH18/'SERV AEROPORTUARIOS'!AH24</f>
        <v>#DIV/0!</v>
      </c>
      <c r="AI45" s="75">
        <f>'SERV AEROPORTUARIOS'!AI18/'SERV AEROPORTUARIOS'!AI24</f>
        <v>3.3670224307998784</v>
      </c>
      <c r="AJ45" s="75">
        <f>'SERV AEROPORTUARIOS'!AJ18/'SERV AEROPORTUARIOS'!AJ24</f>
        <v>1.0582888704418705</v>
      </c>
      <c r="AK45" s="75">
        <f>'SERV AEROPORTUARIOS'!AK18/'SERV AEROPORTUARIOS'!AK24</f>
        <v>1.016647861583812</v>
      </c>
      <c r="AL45" s="75">
        <f>'SERV AEROPORTUARIOS'!AL18/'SERV AEROPORTUARIOS'!AL24</f>
        <v>1.2735473465859315</v>
      </c>
      <c r="AM45" s="75">
        <f>'SERV AEROPORTUARIOS'!AM18/'SERV AEROPORTUARIOS'!AM24</f>
        <v>1.1815661076534374</v>
      </c>
      <c r="AN45" s="75">
        <f>'SERV AEROPORTUARIOS'!AN18/'SERV AEROPORTUARIOS'!AN24</f>
        <v>0.23798021272713346</v>
      </c>
      <c r="AO45" s="75">
        <f>'SERV AEROPORTUARIOS'!AO18/'SERV AEROPORTUARIOS'!AO24</f>
        <v>1.8142815589359063</v>
      </c>
      <c r="AP45" s="75">
        <f>'SERV AEROPORTUARIOS'!AP18/'SERV AEROPORTUARIOS'!AP24</f>
        <v>1.655227912265298</v>
      </c>
      <c r="AQ45" s="75">
        <f>'SERV AEROPORTUARIOS'!AQ18/'SERV AEROPORTUARIOS'!AQ24</f>
        <v>1.4613524351867382</v>
      </c>
      <c r="AR45" s="75" t="e">
        <f>'SERV AEROPORTUARIOS'!AR18/'SERV AEROPORTUARIOS'!AR24</f>
        <v>#DIV/0!</v>
      </c>
      <c r="AS45" s="75">
        <f>'SERV AEROPORTUARIOS'!AS18/'SERV AEROPORTUARIOS'!AS24</f>
        <v>0.15391798958882344</v>
      </c>
      <c r="AT45"/>
    </row>
    <row r="46" spans="1:46" ht="12.75">
      <c r="A46" s="78" t="s">
        <v>56</v>
      </c>
      <c r="B46" s="75">
        <f>'SERV AEROPORTUARIOS'!B16/'SERV AEROPORTUARIOS'!B24</f>
        <v>0.1662622421521773</v>
      </c>
      <c r="C46" s="75">
        <f>'SERV AEROPORTUARIOS'!C16/'SERV AEROPORTUARIOS'!C24</f>
        <v>0.1479075091837874</v>
      </c>
      <c r="D46" s="75">
        <f>'SERV AEROPORTUARIOS'!D16/'SERV AEROPORTUARIOS'!D24</f>
        <v>0.36662971271943223</v>
      </c>
      <c r="E46" s="75">
        <f>'SERV AEROPORTUARIOS'!E16/'SERV AEROPORTUARIOS'!E24</f>
        <v>0.29590001136842387</v>
      </c>
      <c r="F46" s="75">
        <f>'SERV AEROPORTUARIOS'!F16/'SERV AEROPORTUARIOS'!F24</f>
        <v>0</v>
      </c>
      <c r="G46" s="75">
        <f>'SERV AEROPORTUARIOS'!G16/'SERV AEROPORTUARIOS'!G24</f>
        <v>0</v>
      </c>
      <c r="H46" s="75">
        <f>'SERV AEROPORTUARIOS'!H16/'SERV AEROPORTUARIOS'!H24</f>
        <v>0</v>
      </c>
      <c r="I46" s="75">
        <f>'SERV AEROPORTUARIOS'!I16/'SERV AEROPORTUARIOS'!I24</f>
        <v>0</v>
      </c>
      <c r="J46" s="75">
        <f>'SERV AEROPORTUARIOS'!J16/'SERV AEROPORTUARIOS'!J24</f>
        <v>0</v>
      </c>
      <c r="K46" s="75">
        <f>'SERV AEROPORTUARIOS'!K16/'SERV AEROPORTUARIOS'!K24</f>
        <v>0</v>
      </c>
      <c r="L46" s="75">
        <f>'SERV AEROPORTUARIOS'!L16/'SERV AEROPORTUARIOS'!L24</f>
        <v>0.060012337267513316</v>
      </c>
      <c r="M46" s="75">
        <f>'SERV AEROPORTUARIOS'!M16/'SERV AEROPORTUARIOS'!M24</f>
        <v>0.058218355104538926</v>
      </c>
      <c r="N46" s="75">
        <f>'SERV AEROPORTUARIOS'!N16/'SERV AEROPORTUARIOS'!N24</f>
        <v>0.5634562269839986</v>
      </c>
      <c r="O46" s="75">
        <f>'SERV AEROPORTUARIOS'!O16/'SERV AEROPORTUARIOS'!O24</f>
        <v>0.6186234072844861</v>
      </c>
      <c r="P46" s="75">
        <f>'SERV AEROPORTUARIOS'!P16/'SERV AEROPORTUARIOS'!P24</f>
        <v>0.06865076261858691</v>
      </c>
      <c r="Q46" s="75">
        <f>'SERV AEROPORTUARIOS'!Q16/'SERV AEROPORTUARIOS'!Q24</f>
        <v>0.5042456884318316</v>
      </c>
      <c r="R46" s="75">
        <f>'SERV AEROPORTUARIOS'!R16/'SERV AEROPORTUARIOS'!R24</f>
        <v>0.0239077994011651</v>
      </c>
      <c r="S46" s="75" t="e">
        <f>'SERV AEROPORTUARIOS'!S16/'SERV AEROPORTUARIOS'!S24</f>
        <v>#DIV/0!</v>
      </c>
      <c r="T46" s="75">
        <f>'SERV AEROPORTUARIOS'!T16/'SERV AEROPORTUARIOS'!T24</f>
        <v>0</v>
      </c>
      <c r="U46" s="75">
        <f>'SERV AEROPORTUARIOS'!U16/'SERV AEROPORTUARIOS'!U24</f>
        <v>0</v>
      </c>
      <c r="V46" s="75">
        <f>'SERV AEROPORTUARIOS'!V16/'SERV AEROPORTUARIOS'!V24</f>
        <v>0</v>
      </c>
      <c r="W46" s="75" t="e">
        <f>'SERV AEROPORTUARIOS'!W16/'SERV AEROPORTUARIOS'!W24</f>
        <v>#DIV/0!</v>
      </c>
      <c r="X46" s="75">
        <f>'SERV AEROPORTUARIOS'!X16/'SERV AEROPORTUARIOS'!X24</f>
        <v>0</v>
      </c>
      <c r="Y46" s="75">
        <f>'SERV AEROPORTUARIOS'!Y16/'SERV AEROPORTUARIOS'!Y24</f>
        <v>0</v>
      </c>
      <c r="Z46" s="75">
        <f>'SERV AEROPORTUARIOS'!Z16/'SERV AEROPORTUARIOS'!Z24</f>
        <v>0</v>
      </c>
      <c r="AA46" s="75" t="e">
        <f>'SERV AEROPORTUARIOS'!AA16/'SERV AEROPORTUARIOS'!AA24</f>
        <v>#DIV/0!</v>
      </c>
      <c r="AB46" s="75" t="e">
        <f>'SERV AEROPORTUARIOS'!AB16/'SERV AEROPORTUARIOS'!AB24</f>
        <v>#DIV/0!</v>
      </c>
      <c r="AC46" s="75">
        <f>'SERV AEROPORTUARIOS'!AC16/'SERV AEROPORTUARIOS'!AC24</f>
        <v>0</v>
      </c>
      <c r="AD46" s="75">
        <f>'SERV AEROPORTUARIOS'!AD16/'SERV AEROPORTUARIOS'!AD24</f>
        <v>0</v>
      </c>
      <c r="AE46" s="75">
        <f>'SERV AEROPORTUARIOS'!AE16/'SERV AEROPORTUARIOS'!AE24</f>
        <v>0</v>
      </c>
      <c r="AF46" s="75" t="e">
        <f>'SERV AEROPORTUARIOS'!AF16/'SERV AEROPORTUARIOS'!AF24</f>
        <v>#DIV/0!</v>
      </c>
      <c r="AG46" s="75">
        <f>'SERV AEROPORTUARIOS'!AG16/'SERV AEROPORTUARIOS'!AG24</f>
        <v>0</v>
      </c>
      <c r="AH46" s="75" t="e">
        <f>'SERV AEROPORTUARIOS'!AH16/'SERV AEROPORTUARIOS'!AH24</f>
        <v>#DIV/0!</v>
      </c>
      <c r="AI46" s="75">
        <f>'SERV AEROPORTUARIOS'!AI16/'SERV AEROPORTUARIOS'!AI24</f>
        <v>0</v>
      </c>
      <c r="AJ46" s="75">
        <f>'SERV AEROPORTUARIOS'!AJ16/'SERV AEROPORTUARIOS'!AJ24</f>
        <v>0.06529074219202224</v>
      </c>
      <c r="AK46" s="75">
        <f>'SERV AEROPORTUARIOS'!AK16/'SERV AEROPORTUARIOS'!AK24</f>
        <v>0.06840718098179632</v>
      </c>
      <c r="AL46" s="75">
        <f>'SERV AEROPORTUARIOS'!AL16/'SERV AEROPORTUARIOS'!AL24</f>
        <v>0.6108056320050446</v>
      </c>
      <c r="AM46" s="75">
        <f>'SERV AEROPORTUARIOS'!AM16/'SERV AEROPORTUARIOS'!AM24</f>
        <v>0.5739776425261486</v>
      </c>
      <c r="AN46" s="75">
        <f>'SERV AEROPORTUARIOS'!AN16/'SERV AEROPORTUARIOS'!AN24</f>
        <v>0</v>
      </c>
      <c r="AO46" s="75">
        <f>'SERV AEROPORTUARIOS'!AO16/'SERV AEROPORTUARIOS'!AO24</f>
        <v>0</v>
      </c>
      <c r="AP46" s="75">
        <f>'SERV AEROPORTUARIOS'!AP16/'SERV AEROPORTUARIOS'!AP24</f>
        <v>0</v>
      </c>
      <c r="AQ46" s="75">
        <f>'SERV AEROPORTUARIOS'!AQ16/'SERV AEROPORTUARIOS'!AQ24</f>
        <v>0</v>
      </c>
      <c r="AR46" s="75" t="e">
        <f>'SERV AEROPORTUARIOS'!AR16/'SERV AEROPORTUARIOS'!AR24</f>
        <v>#DIV/0!</v>
      </c>
      <c r="AS46" s="75">
        <f>'SERV AEROPORTUARIOS'!AS16/'SERV AEROPORTUARIOS'!AS24</f>
        <v>0</v>
      </c>
      <c r="AT46"/>
    </row>
    <row r="47" spans="1:46" ht="12.75">
      <c r="A47" s="77" t="s">
        <v>57</v>
      </c>
      <c r="B47" s="75">
        <f>'SERV AEROPORTUARIOS'!B18/'SERV AEROPORTUARIOS'!B13</f>
        <v>0.550600194807615</v>
      </c>
      <c r="C47" s="75">
        <f>'SERV AEROPORTUARIOS'!C18/'SERV AEROPORTUARIOS'!C13</f>
        <v>0.5796817125577219</v>
      </c>
      <c r="D47" s="75">
        <f>'SERV AEROPORTUARIOS'!D18/'SERV AEROPORTUARIOS'!D13</f>
        <v>0.7856486356822038</v>
      </c>
      <c r="E47" s="75">
        <f>'SERV AEROPORTUARIOS'!E18/'SERV AEROPORTUARIOS'!E13</f>
        <v>0.8038090977254703</v>
      </c>
      <c r="F47" s="75">
        <f>'SERV AEROPORTUARIOS'!F18/'SERV AEROPORTUARIOS'!F13</f>
        <v>0.42915321757249913</v>
      </c>
      <c r="G47" s="75">
        <f>'SERV AEROPORTUARIOS'!G18/'SERV AEROPORTUARIOS'!G13</f>
        <v>0.39373793651992</v>
      </c>
      <c r="H47" s="75">
        <f>'SERV AEROPORTUARIOS'!H18/'SERV AEROPORTUARIOS'!H13</f>
        <v>0.4623976544674329</v>
      </c>
      <c r="I47" s="75">
        <f>'SERV AEROPORTUARIOS'!I18/'SERV AEROPORTUARIOS'!I13</f>
        <v>0.30506633564037816</v>
      </c>
      <c r="J47" s="75">
        <f>'SERV AEROPORTUARIOS'!J18/'SERV AEROPORTUARIOS'!J13</f>
        <v>0.20394732393325868</v>
      </c>
      <c r="K47" s="75">
        <f>'SERV AEROPORTUARIOS'!K18/'SERV AEROPORTUARIOS'!K13</f>
        <v>0.16883053279591748</v>
      </c>
      <c r="L47" s="75">
        <f>'SERV AEROPORTUARIOS'!L18/'SERV AEROPORTUARIOS'!L13</f>
        <v>0.30317176973273097</v>
      </c>
      <c r="M47" s="75">
        <f>'SERV AEROPORTUARIOS'!M18/'SERV AEROPORTUARIOS'!M13</f>
        <v>0.36050638946515845</v>
      </c>
      <c r="N47" s="75">
        <f>'SERV AEROPORTUARIOS'!N18/'SERV AEROPORTUARIOS'!N13</f>
        <v>0.6774483393606545</v>
      </c>
      <c r="O47" s="75">
        <f>'SERV AEROPORTUARIOS'!O18/'SERV AEROPORTUARIOS'!O13</f>
        <v>0.7187826316925404</v>
      </c>
      <c r="P47" s="75">
        <f>'SERV AEROPORTUARIOS'!P18/'SERV AEROPORTUARIOS'!P13</f>
        <v>0.584611625077187</v>
      </c>
      <c r="Q47" s="75">
        <f>'SERV AEROPORTUARIOS'!Q18/'SERV AEROPORTUARIOS'!Q13</f>
        <v>0.5236680246587934</v>
      </c>
      <c r="R47" s="75">
        <f>'SERV AEROPORTUARIOS'!R18/'SERV AEROPORTUARIOS'!R13</f>
        <v>0.31708914377335995</v>
      </c>
      <c r="S47" s="75" t="e">
        <f>'SERV AEROPORTUARIOS'!S18/'SERV AEROPORTUARIOS'!S13</f>
        <v>#DIV/0!</v>
      </c>
      <c r="T47" s="75">
        <f>'SERV AEROPORTUARIOS'!T18/'SERV AEROPORTUARIOS'!T13</f>
        <v>0.5185554754102605</v>
      </c>
      <c r="U47" s="75">
        <f>'SERV AEROPORTUARIOS'!U18/'SERV AEROPORTUARIOS'!U13</f>
        <v>0.6110922716557828</v>
      </c>
      <c r="V47" s="75">
        <f>'SERV AEROPORTUARIOS'!V18/'SERV AEROPORTUARIOS'!V13</f>
        <v>0.30167298083447147</v>
      </c>
      <c r="W47" s="75" t="e">
        <f>'SERV AEROPORTUARIOS'!W18/'SERV AEROPORTUARIOS'!W13</f>
        <v>#DIV/0!</v>
      </c>
      <c r="X47" s="75">
        <f>'SERV AEROPORTUARIOS'!X18/'SERV AEROPORTUARIOS'!X13</f>
        <v>0.3392667889299505</v>
      </c>
      <c r="Y47" s="75">
        <f>'SERV AEROPORTUARIOS'!Y18/'SERV AEROPORTUARIOS'!Y13</f>
        <v>0.3615473819427336</v>
      </c>
      <c r="Z47" s="75">
        <f>'SERV AEROPORTUARIOS'!Z18/'SERV AEROPORTUARIOS'!Z13</f>
        <v>397.134521484375</v>
      </c>
      <c r="AA47" s="75" t="e">
        <f>'SERV AEROPORTUARIOS'!AA18/'SERV AEROPORTUARIOS'!AA13</f>
        <v>#DIV/0!</v>
      </c>
      <c r="AB47" s="75" t="e">
        <f>'SERV AEROPORTUARIOS'!AB18/'SERV AEROPORTUARIOS'!AB13</f>
        <v>#DIV/0!</v>
      </c>
      <c r="AC47" s="75">
        <f>'SERV AEROPORTUARIOS'!AC18/'SERV AEROPORTUARIOS'!AC13</f>
        <v>0.24724754870073884</v>
      </c>
      <c r="AD47" s="75">
        <f>'SERV AEROPORTUARIOS'!AD18/'SERV AEROPORTUARIOS'!AD13</f>
        <v>0.39477619364172517</v>
      </c>
      <c r="AE47" s="75">
        <f>'SERV AEROPORTUARIOS'!AE18/'SERV AEROPORTUARIOS'!AE13</f>
        <v>0.5368828129620742</v>
      </c>
      <c r="AF47" s="75" t="e">
        <f>'SERV AEROPORTUARIOS'!AF18/'SERV AEROPORTUARIOS'!AF13</f>
        <v>#DIV/0!</v>
      </c>
      <c r="AG47" s="75">
        <f>'SERV AEROPORTUARIOS'!AG18/'SERV AEROPORTUARIOS'!AG13</f>
        <v>0.7257338887878853</v>
      </c>
      <c r="AH47" s="75" t="e">
        <f>'SERV AEROPORTUARIOS'!AH18/'SERV AEROPORTUARIOS'!AH13</f>
        <v>#DIV/0!</v>
      </c>
      <c r="AI47" s="75">
        <f>'SERV AEROPORTUARIOS'!AI18/'SERV AEROPORTUARIOS'!AI13</f>
        <v>0.7710110227629774</v>
      </c>
      <c r="AJ47" s="75">
        <f>'SERV AEROPORTUARIOS'!AJ18/'SERV AEROPORTUARIOS'!AJ13</f>
        <v>0.5141595456495271</v>
      </c>
      <c r="AK47" s="75">
        <f>'SERV AEROPORTUARIOS'!AK18/'SERV AEROPORTUARIOS'!AK13</f>
        <v>0.5041276074769785</v>
      </c>
      <c r="AL47" s="75">
        <f>'SERV AEROPORTUARIOS'!AL18/'SERV AEROPORTUARIOS'!AL13</f>
        <v>0.5589557973682671</v>
      </c>
      <c r="AM47" s="75">
        <f>'SERV AEROPORTUARIOS'!AM18/'SERV AEROPORTUARIOS'!AM13</f>
        <v>0.5416137073532044</v>
      </c>
      <c r="AN47" s="75">
        <f>'SERV AEROPORTUARIOS'!AN18/'SERV AEROPORTUARIOS'!AN13</f>
        <v>0.19223264646010227</v>
      </c>
      <c r="AO47" s="75">
        <f>'SERV AEROPORTUARIOS'!AO18/'SERV AEROPORTUARIOS'!AO13</f>
        <v>0.6446695257603632</v>
      </c>
      <c r="AP47" s="75">
        <f>'SERV AEROPORTUARIOS'!AP18/'SERV AEROPORTUARIOS'!AP13</f>
        <v>0.6233844954021842</v>
      </c>
      <c r="AQ47" s="75">
        <f>'SERV AEROPORTUARIOS'!AQ18/'SERV AEROPORTUARIOS'!AQ13</f>
        <v>0.5937192960649165</v>
      </c>
      <c r="AR47" s="75" t="e">
        <f>'SERV AEROPORTUARIOS'!AR18/'SERV AEROPORTUARIOS'!AR13</f>
        <v>#DIV/0!</v>
      </c>
      <c r="AS47" s="75">
        <f>'SERV AEROPORTUARIOS'!AS18/'SERV AEROPORTUARIOS'!AS13</f>
        <v>0.13338729812112193</v>
      </c>
      <c r="AT47"/>
    </row>
    <row r="48" spans="1:46" ht="12.75">
      <c r="A48" s="55" t="s">
        <v>58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/>
    </row>
    <row r="49" spans="1:46" ht="12.75">
      <c r="A49" s="77" t="s">
        <v>70</v>
      </c>
      <c r="B49" s="75">
        <f>'SERV AEROPORTUARIOS'!B13/'SERV AEROPORTUARIOS'!B18</f>
        <v>1.816199865947032</v>
      </c>
      <c r="C49" s="75">
        <f>'SERV AEROPORTUARIOS'!C13/'SERV AEROPORTUARIOS'!C18</f>
        <v>1.7250846082201095</v>
      </c>
      <c r="D49" s="75">
        <f>'SERV AEROPORTUARIOS'!D13/'SERV AEROPORTUARIOS'!D18</f>
        <v>1.2728336238141216</v>
      </c>
      <c r="E49" s="75">
        <f>'SERV AEROPORTUARIOS'!E13/'SERV AEROPORTUARIOS'!E18</f>
        <v>1.2440764888450366</v>
      </c>
      <c r="F49" s="75">
        <f>'SERV AEROPORTUARIOS'!F13/'SERV AEROPORTUARIOS'!F18</f>
        <v>2.330170109539176</v>
      </c>
      <c r="G49" s="75">
        <f>'SERV AEROPORTUARIOS'!G13/'SERV AEROPORTUARIOS'!G18</f>
        <v>2.5397603513610325</v>
      </c>
      <c r="H49" s="75">
        <f>'SERV AEROPORTUARIOS'!H13/'SERV AEROPORTUARIOS'!H18</f>
        <v>2.162640727820627</v>
      </c>
      <c r="I49" s="75">
        <f>'SERV AEROPORTUARIOS'!I13/'SERV AEROPORTUARIOS'!I18</f>
        <v>3.277975584886664</v>
      </c>
      <c r="J49" s="75">
        <f>'SERV AEROPORTUARIOS'!J13/'SERV AEROPORTUARIOS'!J18</f>
        <v>4.90322687601063</v>
      </c>
      <c r="K49" s="75">
        <f>'SERV AEROPORTUARIOS'!K13/'SERV AEROPORTUARIOS'!K18</f>
        <v>5.923099237084095</v>
      </c>
      <c r="L49" s="75">
        <f>'SERV AEROPORTUARIOS'!L13/'SERV AEROPORTUARIOS'!L18</f>
        <v>3.2984601464759606</v>
      </c>
      <c r="M49" s="75">
        <f>'SERV AEROPORTUARIOS'!M13/'SERV AEROPORTUARIOS'!M18</f>
        <v>2.773875940128507</v>
      </c>
      <c r="N49" s="75">
        <f>'SERV AEROPORTUARIOS'!N13/'SERV AEROPORTUARIOS'!N18</f>
        <v>1.4761273176103071</v>
      </c>
      <c r="O49" s="75">
        <f>'SERV AEROPORTUARIOS'!O13/'SERV AEROPORTUARIOS'!O18</f>
        <v>1.3912411846197064</v>
      </c>
      <c r="P49" s="75">
        <f>'SERV AEROPORTUARIOS'!P13/'SERV AEROPORTUARIOS'!P18</f>
        <v>1.7105373158940669</v>
      </c>
      <c r="Q49" s="75">
        <f>'SERV AEROPORTUARIOS'!Q13/'SERV AEROPORTUARIOS'!Q18</f>
        <v>1.9096067602209827</v>
      </c>
      <c r="R49" s="75">
        <f>'SERV AEROPORTUARIOS'!R13/'SERV AEROPORTUARIOS'!R18</f>
        <v>3.1536872820683883</v>
      </c>
      <c r="S49" s="75" t="e">
        <f>'SERV AEROPORTUARIOS'!S13/'SERV AEROPORTUARIOS'!S18</f>
        <v>#DIV/0!</v>
      </c>
      <c r="T49" s="75">
        <f>'SERV AEROPORTUARIOS'!T13/'SERV AEROPORTUARIOS'!T18</f>
        <v>1.9284339813572302</v>
      </c>
      <c r="U49" s="75">
        <f>'SERV AEROPORTUARIOS'!U13/'SERV AEROPORTUARIOS'!U18</f>
        <v>1.6364140840636943</v>
      </c>
      <c r="V49" s="75">
        <f>'SERV AEROPORTUARIOS'!V13/'SERV AEROPORTUARIOS'!V18</f>
        <v>3.314847744182638</v>
      </c>
      <c r="W49" s="75" t="e">
        <f>'SERV AEROPORTUARIOS'!W13/'SERV AEROPORTUARIOS'!W18</f>
        <v>#DIV/0!</v>
      </c>
      <c r="X49" s="75">
        <f>'SERV AEROPORTUARIOS'!X13/'SERV AEROPORTUARIOS'!X18</f>
        <v>2.9475328344221547</v>
      </c>
      <c r="Y49" s="75">
        <f>'SERV AEROPORTUARIOS'!Y13/'SERV AEROPORTUARIOS'!Y18</f>
        <v>2.765889202755705</v>
      </c>
      <c r="Z49" s="75">
        <f>'SERV AEROPORTUARIOS'!Z13/'SERV AEROPORTUARIOS'!Z18</f>
        <v>0.002518038462791617</v>
      </c>
      <c r="AA49" s="75" t="e">
        <f>'SERV AEROPORTUARIOS'!AA13/'SERV AEROPORTUARIOS'!AA18</f>
        <v>#DIV/0!</v>
      </c>
      <c r="AB49" s="75" t="e">
        <f>'SERV AEROPORTUARIOS'!AB13/'SERV AEROPORTUARIOS'!AB18</f>
        <v>#DIV/0!</v>
      </c>
      <c r="AC49" s="75">
        <f>'SERV AEROPORTUARIOS'!AC13/'SERV AEROPORTUARIOS'!AC18</f>
        <v>4.044529481707301</v>
      </c>
      <c r="AD49" s="75">
        <f>'SERV AEROPORTUARIOS'!AD13/'SERV AEROPORTUARIOS'!AD18</f>
        <v>2.533080809091389</v>
      </c>
      <c r="AE49" s="75">
        <f>'SERV AEROPORTUARIOS'!AE13/'SERV AEROPORTUARIOS'!AE18</f>
        <v>1.8626038603896242</v>
      </c>
      <c r="AF49" s="75" t="e">
        <f>'SERV AEROPORTUARIOS'!AF13/'SERV AEROPORTUARIOS'!AF18</f>
        <v>#DIV/0!</v>
      </c>
      <c r="AG49" s="75">
        <f>'SERV AEROPORTUARIOS'!AG13/'SERV AEROPORTUARIOS'!AG18</f>
        <v>1.3779155355004735</v>
      </c>
      <c r="AH49" s="75" t="e">
        <f>'SERV AEROPORTUARIOS'!AH13/'SERV AEROPORTUARIOS'!AH18</f>
        <v>#DIV/0!</v>
      </c>
      <c r="AI49" s="75">
        <f>'SERV AEROPORTUARIOS'!AI13/'SERV AEROPORTUARIOS'!AI18</f>
        <v>1.2969983184110947</v>
      </c>
      <c r="AJ49" s="75">
        <f>'SERV AEROPORTUARIOS'!AJ13/'SERV AEROPORTUARIOS'!AJ18</f>
        <v>1.9449215879804793</v>
      </c>
      <c r="AK49" s="75">
        <f>'SERV AEROPORTUARIOS'!AK13/'SERV AEROPORTUARIOS'!AK18</f>
        <v>1.9836247512901108</v>
      </c>
      <c r="AL49" s="75">
        <f>'SERV AEROPORTUARIOS'!AL13/'SERV AEROPORTUARIOS'!AL18</f>
        <v>1.7890502338616083</v>
      </c>
      <c r="AM49" s="75">
        <f>'SERV AEROPORTUARIOS'!AM13/'SERV AEROPORTUARIOS'!AM18</f>
        <v>1.8463343641852599</v>
      </c>
      <c r="AN49" s="75">
        <f>'SERV AEROPORTUARIOS'!AN13/'SERV AEROPORTUARIOS'!AN18</f>
        <v>5.202030031915257</v>
      </c>
      <c r="AO49" s="75">
        <f>'SERV AEROPORTUARIOS'!AO13/'SERV AEROPORTUARIOS'!AO18</f>
        <v>1.551182365601256</v>
      </c>
      <c r="AP49" s="75">
        <f>'SERV AEROPORTUARIOS'!AP13/'SERV AEROPORTUARIOS'!AP18</f>
        <v>1.6041464094400322</v>
      </c>
      <c r="AQ49" s="75">
        <f>'SERV AEROPORTUARIOS'!AQ13/'SERV AEROPORTUARIOS'!AQ18</f>
        <v>1.6842976245303998</v>
      </c>
      <c r="AR49" s="75" t="e">
        <f>'SERV AEROPORTUARIOS'!AR13/'SERV AEROPORTUARIOS'!AR18</f>
        <v>#DIV/0!</v>
      </c>
      <c r="AS49" s="75">
        <f>'SERV AEROPORTUARIOS'!AS13/'SERV AEROPORTUARIOS'!AS18</f>
        <v>7.496965708773507</v>
      </c>
      <c r="AT49"/>
    </row>
    <row r="50" spans="1:46" ht="12.75">
      <c r="A50" s="77" t="s">
        <v>69</v>
      </c>
      <c r="B50" s="75">
        <f>'SERV AEROPORTUARIOS'!B13/'SERV AEROPORTUARIOS'!B15</f>
        <v>2.0813101290253786</v>
      </c>
      <c r="C50" s="75">
        <f>'SERV AEROPORTUARIOS'!C13/'SERV AEROPORTUARIOS'!C15</f>
        <v>1.932316811581117</v>
      </c>
      <c r="D50" s="75">
        <f>'SERV AEROPORTUARIOS'!D13/'SERV AEROPORTUARIOS'!D15</f>
        <v>1.4143050175373784</v>
      </c>
      <c r="E50" s="75">
        <f>'SERV AEROPORTUARIOS'!E13/'SERV AEROPORTUARIOS'!E15</f>
        <v>1.3409207860785182</v>
      </c>
      <c r="F50" s="75">
        <f>'SERV AEROPORTUARIOS'!F13/'SERV AEROPORTUARIOS'!F15</f>
        <v>2.330170109539176</v>
      </c>
      <c r="G50" s="75">
        <f>'SERV AEROPORTUARIOS'!G13/'SERV AEROPORTUARIOS'!G15</f>
        <v>2.5397603513610325</v>
      </c>
      <c r="H50" s="75">
        <f>'SERV AEROPORTUARIOS'!H13/'SERV AEROPORTUARIOS'!H15</f>
        <v>2.162640727820627</v>
      </c>
      <c r="I50" s="75">
        <f>'SERV AEROPORTUARIOS'!I13/'SERV AEROPORTUARIOS'!I15</f>
        <v>3.277975584886664</v>
      </c>
      <c r="J50" s="75">
        <f>'SERV AEROPORTUARIOS'!J13/'SERV AEROPORTUARIOS'!J15</f>
        <v>4.90322687601063</v>
      </c>
      <c r="K50" s="75">
        <f>'SERV AEROPORTUARIOS'!K13/'SERV AEROPORTUARIOS'!K15</f>
        <v>5.923099237084095</v>
      </c>
      <c r="L50" s="75">
        <f>'SERV AEROPORTUARIOS'!L13/'SERV AEROPORTUARIOS'!L15</f>
        <v>3.8262356559312964</v>
      </c>
      <c r="M50" s="75">
        <f>'SERV AEROPORTUARIOS'!M13/'SERV AEROPORTUARIOS'!M15</f>
        <v>3.093330832710987</v>
      </c>
      <c r="N50" s="75">
        <f>'SERV AEROPORTUARIOS'!N13/'SERV AEROPORTUARIOS'!N15</f>
        <v>2.017330492276985</v>
      </c>
      <c r="O50" s="75">
        <f>'SERV AEROPORTUARIOS'!O13/'SERV AEROPORTUARIOS'!O15</f>
        <v>1.835485490133799</v>
      </c>
      <c r="P50" s="75">
        <f>'SERV AEROPORTUARIOS'!P13/'SERV AEROPORTUARIOS'!P15</f>
        <v>1.7982542306312435</v>
      </c>
      <c r="Q50" s="75">
        <f>'SERV AEROPORTUARIOS'!Q13/'SERV AEROPORTUARIOS'!Q15</f>
        <v>3.5275896931145696</v>
      </c>
      <c r="R50" s="75">
        <f>'SERV AEROPORTUARIOS'!R13/'SERV AEROPORTUARIOS'!R15</f>
        <v>3.557858419031273</v>
      </c>
      <c r="S50" s="75" t="e">
        <f>'SERV AEROPORTUARIOS'!S13/'SERV AEROPORTUARIOS'!S15</f>
        <v>#DIV/0!</v>
      </c>
      <c r="T50" s="75">
        <f>'SERV AEROPORTUARIOS'!T13/'SERV AEROPORTUARIOS'!T15</f>
        <v>1.9284339813572302</v>
      </c>
      <c r="U50" s="75">
        <f>'SERV AEROPORTUARIOS'!U13/'SERV AEROPORTUARIOS'!U15</f>
        <v>1.6364140840636943</v>
      </c>
      <c r="V50" s="75">
        <f>'SERV AEROPORTUARIOS'!V13/'SERV AEROPORTUARIOS'!V15</f>
        <v>3.314847744182638</v>
      </c>
      <c r="W50" s="75" t="e">
        <f>'SERV AEROPORTUARIOS'!W13/'SERV AEROPORTUARIOS'!W15</f>
        <v>#DIV/0!</v>
      </c>
      <c r="X50" s="75">
        <f>'SERV AEROPORTUARIOS'!X13/'SERV AEROPORTUARIOS'!X15</f>
        <v>2.9475328344221547</v>
      </c>
      <c r="Y50" s="75">
        <f>'SERV AEROPORTUARIOS'!Y13/'SERV AEROPORTUARIOS'!Y15</f>
        <v>2.765889202755705</v>
      </c>
      <c r="Z50" s="75">
        <f>'SERV AEROPORTUARIOS'!Z13/'SERV AEROPORTUARIOS'!Z15</f>
        <v>0.002518038462791617</v>
      </c>
      <c r="AA50" s="75" t="e">
        <f>'SERV AEROPORTUARIOS'!AA13/'SERV AEROPORTUARIOS'!AA15</f>
        <v>#DIV/0!</v>
      </c>
      <c r="AB50" s="75" t="e">
        <f>'SERV AEROPORTUARIOS'!AB13/'SERV AEROPORTUARIOS'!AB15</f>
        <v>#DIV/0!</v>
      </c>
      <c r="AC50" s="75">
        <f>'SERV AEROPORTUARIOS'!AC13/'SERV AEROPORTUARIOS'!AC15</f>
        <v>4.044529481707301</v>
      </c>
      <c r="AD50" s="75">
        <f>'SERV AEROPORTUARIOS'!AD13/'SERV AEROPORTUARIOS'!AD15</f>
        <v>2.533080809091389</v>
      </c>
      <c r="AE50" s="75">
        <f>'SERV AEROPORTUARIOS'!AE13/'SERV AEROPORTUARIOS'!AE15</f>
        <v>1.8626038603896242</v>
      </c>
      <c r="AF50" s="75" t="e">
        <f>'SERV AEROPORTUARIOS'!AF13/'SERV AEROPORTUARIOS'!AF15</f>
        <v>#DIV/0!</v>
      </c>
      <c r="AG50" s="75">
        <f>'SERV AEROPORTUARIOS'!AG13/'SERV AEROPORTUARIOS'!AG15</f>
        <v>1.3779155355004735</v>
      </c>
      <c r="AH50" s="75" t="e">
        <f>'SERV AEROPORTUARIOS'!AH13/'SERV AEROPORTUARIOS'!AH15</f>
        <v>#DIV/0!</v>
      </c>
      <c r="AI50" s="75">
        <f>'SERV AEROPORTUARIOS'!AI13/'SERV AEROPORTUARIOS'!AI15</f>
        <v>1.2969983184110947</v>
      </c>
      <c r="AJ50" s="75">
        <f>'SERV AEROPORTUARIOS'!AJ13/'SERV AEROPORTUARIOS'!AJ15</f>
        <v>2.072802366777457</v>
      </c>
      <c r="AK50" s="75">
        <f>'SERV AEROPORTUARIOS'!AK13/'SERV AEROPORTUARIOS'!AK15</f>
        <v>2.126725738346819</v>
      </c>
      <c r="AL50" s="75">
        <f>'SERV AEROPORTUARIOS'!AL13/'SERV AEROPORTUARIOS'!AL15</f>
        <v>3.437900660416797</v>
      </c>
      <c r="AM50" s="75">
        <f>'SERV AEROPORTUARIOS'!AM13/'SERV AEROPORTUARIOS'!AM15</f>
        <v>3.590532462890202</v>
      </c>
      <c r="AN50" s="75">
        <f>'SERV AEROPORTUARIOS'!AN13/'SERV AEROPORTUARIOS'!AN15</f>
        <v>5.202030031915257</v>
      </c>
      <c r="AO50" s="75">
        <f>'SERV AEROPORTUARIOS'!AO13/'SERV AEROPORTUARIOS'!AO15</f>
        <v>1.551182365601256</v>
      </c>
      <c r="AP50" s="75">
        <f>'SERV AEROPORTUARIOS'!AP13/'SERV AEROPORTUARIOS'!AP15</f>
        <v>1.6041464094400322</v>
      </c>
      <c r="AQ50" s="75">
        <f>'SERV AEROPORTUARIOS'!AQ13/'SERV AEROPORTUARIOS'!AQ15</f>
        <v>1.6842976245303998</v>
      </c>
      <c r="AR50" s="75" t="e">
        <f>'SERV AEROPORTUARIOS'!AR13/'SERV AEROPORTUARIOS'!AR15</f>
        <v>#DIV/0!</v>
      </c>
      <c r="AS50" s="75">
        <f>'SERV AEROPORTUARIOS'!AS13/'SERV AEROPORTUARIOS'!AS15</f>
        <v>7.496965708773507</v>
      </c>
      <c r="AT50"/>
    </row>
    <row r="51" spans="1:46" ht="12.75">
      <c r="A51" s="55" t="s">
        <v>60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/>
    </row>
    <row r="52" spans="1:46" ht="12.75">
      <c r="A52" s="77" t="s">
        <v>61</v>
      </c>
      <c r="B52" s="75">
        <f>'SERV AEROPORTUARIOS'!B11/'SERV AEROPORTUARIOS'!B16</f>
        <v>3.3301340034768194</v>
      </c>
      <c r="C52" s="75">
        <f>'SERV AEROPORTUARIOS'!C11/'SERV AEROPORTUARIOS'!C16</f>
        <v>3.505505081497795</v>
      </c>
      <c r="D52" s="75">
        <f>'SERV AEROPORTUARIOS'!D11/'SERV AEROPORTUARIOS'!D16</f>
        <v>3.640085714285714</v>
      </c>
      <c r="E52" s="75">
        <f>'SERV AEROPORTUARIOS'!E11/'SERV AEROPORTUARIOS'!E16</f>
        <v>4.272012294340987</v>
      </c>
      <c r="F52" s="75" t="e">
        <f>'SERV AEROPORTUARIOS'!F11/'SERV AEROPORTUARIOS'!F16</f>
        <v>#DIV/0!</v>
      </c>
      <c r="G52" s="75" t="e">
        <f>'SERV AEROPORTUARIOS'!G11/'SERV AEROPORTUARIOS'!G16</f>
        <v>#DIV/0!</v>
      </c>
      <c r="H52" s="75" t="e">
        <f>'SERV AEROPORTUARIOS'!H11/'SERV AEROPORTUARIOS'!H16</f>
        <v>#DIV/0!</v>
      </c>
      <c r="I52" s="75" t="e">
        <f>'SERV AEROPORTUARIOS'!I11/'SERV AEROPORTUARIOS'!I16</f>
        <v>#DIV/0!</v>
      </c>
      <c r="J52" s="75" t="e">
        <f>'SERV AEROPORTUARIOS'!J11/'SERV AEROPORTUARIOS'!J16</f>
        <v>#DIV/0!</v>
      </c>
      <c r="K52" s="75" t="e">
        <f>'SERV AEROPORTUARIOS'!K11/'SERV AEROPORTUARIOS'!K16</f>
        <v>#DIV/0!</v>
      </c>
      <c r="L52" s="75">
        <f>'SERV AEROPORTUARIOS'!L11/'SERV AEROPORTUARIOS'!L16</f>
        <v>13.092069816017299</v>
      </c>
      <c r="M52" s="75">
        <f>'SERV AEROPORTUARIOS'!M11/'SERV AEROPORTUARIOS'!M16</f>
        <v>13.720811263182455</v>
      </c>
      <c r="N52" s="75">
        <f>'SERV AEROPORTUARIOS'!N11/'SERV AEROPORTUARIOS'!N16</f>
        <v>1.2029435395846342</v>
      </c>
      <c r="O52" s="75">
        <f>'SERV AEROPORTUARIOS'!O11/'SERV AEROPORTUARIOS'!O16</f>
        <v>1.684582353237944</v>
      </c>
      <c r="P52" s="75">
        <f>'SERV AEROPORTUARIOS'!P11/'SERV AEROPORTUARIOS'!P16</f>
        <v>0.37120738923076924</v>
      </c>
      <c r="Q52" s="75">
        <f>'SERV AEROPORTUARIOS'!Q11/'SERV AEROPORTUARIOS'!Q16</f>
        <v>0.09332908227483468</v>
      </c>
      <c r="R52" s="75">
        <f>'SERV AEROPORTUARIOS'!R11/'SERV AEROPORTUARIOS'!R16</f>
        <v>16.13147458602004</v>
      </c>
      <c r="S52" s="75" t="e">
        <f>'SERV AEROPORTUARIOS'!S11/'SERV AEROPORTUARIOS'!S16</f>
        <v>#DIV/0!</v>
      </c>
      <c r="T52" s="75" t="e">
        <f>'SERV AEROPORTUARIOS'!T11/'SERV AEROPORTUARIOS'!T16</f>
        <v>#DIV/0!</v>
      </c>
      <c r="U52" s="75" t="e">
        <f>'SERV AEROPORTUARIOS'!U11/'SERV AEROPORTUARIOS'!U16</f>
        <v>#DIV/0!</v>
      </c>
      <c r="V52" s="75" t="e">
        <f>'SERV AEROPORTUARIOS'!V11/'SERV AEROPORTUARIOS'!V16</f>
        <v>#DIV/0!</v>
      </c>
      <c r="W52" s="75" t="e">
        <f>'SERV AEROPORTUARIOS'!W11/'SERV AEROPORTUARIOS'!W16</f>
        <v>#DIV/0!</v>
      </c>
      <c r="X52" s="75" t="e">
        <f>'SERV AEROPORTUARIOS'!X11/'SERV AEROPORTUARIOS'!X16</f>
        <v>#DIV/0!</v>
      </c>
      <c r="Y52" s="75" t="e">
        <f>'SERV AEROPORTUARIOS'!Y11/'SERV AEROPORTUARIOS'!Y16</f>
        <v>#DIV/0!</v>
      </c>
      <c r="Z52" s="75" t="e">
        <f>'SERV AEROPORTUARIOS'!Z11/'SERV AEROPORTUARIOS'!Z16</f>
        <v>#DIV/0!</v>
      </c>
      <c r="AA52" s="75" t="e">
        <f>'SERV AEROPORTUARIOS'!AA11/'SERV AEROPORTUARIOS'!AA16</f>
        <v>#DIV/0!</v>
      </c>
      <c r="AB52" s="75" t="e">
        <f>'SERV AEROPORTUARIOS'!AB11/'SERV AEROPORTUARIOS'!AB16</f>
        <v>#DIV/0!</v>
      </c>
      <c r="AC52" s="75" t="e">
        <f>'SERV AEROPORTUARIOS'!AC11/'SERV AEROPORTUARIOS'!AC16</f>
        <v>#DIV/0!</v>
      </c>
      <c r="AD52" s="75" t="e">
        <f>'SERV AEROPORTUARIOS'!AD11/'SERV AEROPORTUARIOS'!AD16</f>
        <v>#DIV/0!</v>
      </c>
      <c r="AE52" s="75" t="e">
        <f>'SERV AEROPORTUARIOS'!AE11/'SERV AEROPORTUARIOS'!AE16</f>
        <v>#DIV/0!</v>
      </c>
      <c r="AF52" s="75" t="e">
        <f>'SERV AEROPORTUARIOS'!AF11/'SERV AEROPORTUARIOS'!AF16</f>
        <v>#DIV/0!</v>
      </c>
      <c r="AG52" s="75" t="e">
        <f>'SERV AEROPORTUARIOS'!AG11/'SERV AEROPORTUARIOS'!AG16</f>
        <v>#DIV/0!</v>
      </c>
      <c r="AH52" s="75" t="e">
        <f>'SERV AEROPORTUARIOS'!AH11/'SERV AEROPORTUARIOS'!AH16</f>
        <v>#DIV/0!</v>
      </c>
      <c r="AI52" s="75" t="e">
        <f>'SERV AEROPORTUARIOS'!AI11/'SERV AEROPORTUARIOS'!AI16</f>
        <v>#DIV/0!</v>
      </c>
      <c r="AJ52" s="75">
        <f>'SERV AEROPORTUARIOS'!AJ11/'SERV AEROPORTUARIOS'!AJ16</f>
        <v>8.634138429063437</v>
      </c>
      <c r="AK52" s="75">
        <f>'SERV AEROPORTUARIOS'!AK11/'SERV AEROPORTUARIOS'!AK16</f>
        <v>7.384037814744114</v>
      </c>
      <c r="AL52" s="75">
        <f>'SERV AEROPORTUARIOS'!AL11/'SERV AEROPORTUARIOS'!AL16</f>
        <v>1.4873306515298483</v>
      </c>
      <c r="AM52" s="75">
        <f>'SERV AEROPORTUARIOS'!AM11/'SERV AEROPORTUARIOS'!AM16</f>
        <v>1.3575513295447943</v>
      </c>
      <c r="AN52" s="75" t="e">
        <f>'SERV AEROPORTUARIOS'!AN11/'SERV AEROPORTUARIOS'!AN16</f>
        <v>#DIV/0!</v>
      </c>
      <c r="AO52" s="75" t="e">
        <f>'SERV AEROPORTUARIOS'!AO11/'SERV AEROPORTUARIOS'!AO16</f>
        <v>#DIV/0!</v>
      </c>
      <c r="AP52" s="75" t="e">
        <f>'SERV AEROPORTUARIOS'!AP11/'SERV AEROPORTUARIOS'!AP16</f>
        <v>#DIV/0!</v>
      </c>
      <c r="AQ52" s="75" t="e">
        <f>'SERV AEROPORTUARIOS'!AQ11/'SERV AEROPORTUARIOS'!AQ16</f>
        <v>#DIV/0!</v>
      </c>
      <c r="AR52" s="75" t="e">
        <f>'SERV AEROPORTUARIOS'!AR11/'SERV AEROPORTUARIOS'!AR16</f>
        <v>#DIV/0!</v>
      </c>
      <c r="AS52" s="75" t="e">
        <f>'SERV AEROPORTUARIOS'!AS11/'SERV AEROPORTUARIOS'!AS16</f>
        <v>#DIV/0!</v>
      </c>
      <c r="AT52"/>
    </row>
    <row r="53" spans="1:46" ht="12.75">
      <c r="A53" s="77" t="s">
        <v>59</v>
      </c>
      <c r="B53" s="75">
        <f>'SERV AEROPORTUARIOS'!B13/'SERV AEROPORTUARIOS'!B18</f>
        <v>1.816199865947032</v>
      </c>
      <c r="C53" s="75">
        <f>'SERV AEROPORTUARIOS'!C13/'SERV AEROPORTUARIOS'!C18</f>
        <v>1.7250846082201095</v>
      </c>
      <c r="D53" s="75">
        <f>'SERV AEROPORTUARIOS'!D13/'SERV AEROPORTUARIOS'!D18</f>
        <v>1.2728336238141216</v>
      </c>
      <c r="E53" s="75">
        <f>'SERV AEROPORTUARIOS'!E13/'SERV AEROPORTUARIOS'!E18</f>
        <v>1.2440764888450366</v>
      </c>
      <c r="F53" s="75">
        <f>'SERV AEROPORTUARIOS'!F13/'SERV AEROPORTUARIOS'!F18</f>
        <v>2.330170109539176</v>
      </c>
      <c r="G53" s="75">
        <f>'SERV AEROPORTUARIOS'!G13/'SERV AEROPORTUARIOS'!G18</f>
        <v>2.5397603513610325</v>
      </c>
      <c r="H53" s="75">
        <f>'SERV AEROPORTUARIOS'!H13/'SERV AEROPORTUARIOS'!H18</f>
        <v>2.162640727820627</v>
      </c>
      <c r="I53" s="75">
        <f>'SERV AEROPORTUARIOS'!I13/'SERV AEROPORTUARIOS'!I18</f>
        <v>3.277975584886664</v>
      </c>
      <c r="J53" s="75">
        <f>'SERV AEROPORTUARIOS'!J13/'SERV AEROPORTUARIOS'!J18</f>
        <v>4.90322687601063</v>
      </c>
      <c r="K53" s="75">
        <f>'SERV AEROPORTUARIOS'!K13/'SERV AEROPORTUARIOS'!K18</f>
        <v>5.923099237084095</v>
      </c>
      <c r="L53" s="75">
        <f>'SERV AEROPORTUARIOS'!L13/'SERV AEROPORTUARIOS'!L18</f>
        <v>3.2984601464759606</v>
      </c>
      <c r="M53" s="75">
        <f>'SERV AEROPORTUARIOS'!M13/'SERV AEROPORTUARIOS'!M18</f>
        <v>2.773875940128507</v>
      </c>
      <c r="N53" s="75">
        <f>'SERV AEROPORTUARIOS'!N13/'SERV AEROPORTUARIOS'!N18</f>
        <v>1.4761273176103071</v>
      </c>
      <c r="O53" s="75">
        <f>'SERV AEROPORTUARIOS'!O13/'SERV AEROPORTUARIOS'!O18</f>
        <v>1.3912411846197064</v>
      </c>
      <c r="P53" s="75">
        <f>'SERV AEROPORTUARIOS'!P13/'SERV AEROPORTUARIOS'!P18</f>
        <v>1.7105373158940669</v>
      </c>
      <c r="Q53" s="75">
        <f>'SERV AEROPORTUARIOS'!Q13/'SERV AEROPORTUARIOS'!Q18</f>
        <v>1.9096067602209827</v>
      </c>
      <c r="R53" s="75">
        <f>'SERV AEROPORTUARIOS'!R13/'SERV AEROPORTUARIOS'!R18</f>
        <v>3.1536872820683883</v>
      </c>
      <c r="S53" s="75" t="e">
        <f>'SERV AEROPORTUARIOS'!S13/'SERV AEROPORTUARIOS'!S18</f>
        <v>#DIV/0!</v>
      </c>
      <c r="T53" s="75">
        <f>'SERV AEROPORTUARIOS'!T13/'SERV AEROPORTUARIOS'!T18</f>
        <v>1.9284339813572302</v>
      </c>
      <c r="U53" s="75">
        <f>'SERV AEROPORTUARIOS'!U13/'SERV AEROPORTUARIOS'!U18</f>
        <v>1.6364140840636943</v>
      </c>
      <c r="V53" s="75">
        <f>'SERV AEROPORTUARIOS'!V13/'SERV AEROPORTUARIOS'!V18</f>
        <v>3.314847744182638</v>
      </c>
      <c r="W53" s="75" t="e">
        <f>'SERV AEROPORTUARIOS'!W13/'SERV AEROPORTUARIOS'!W18</f>
        <v>#DIV/0!</v>
      </c>
      <c r="X53" s="75">
        <f>'SERV AEROPORTUARIOS'!X13/'SERV AEROPORTUARIOS'!X18</f>
        <v>2.9475328344221547</v>
      </c>
      <c r="Y53" s="75">
        <f>'SERV AEROPORTUARIOS'!Y13/'SERV AEROPORTUARIOS'!Y18</f>
        <v>2.765889202755705</v>
      </c>
      <c r="Z53" s="75">
        <f>'SERV AEROPORTUARIOS'!Z13/'SERV AEROPORTUARIOS'!Z18</f>
        <v>0.002518038462791617</v>
      </c>
      <c r="AA53" s="75" t="e">
        <f>'SERV AEROPORTUARIOS'!AA13/'SERV AEROPORTUARIOS'!AA18</f>
        <v>#DIV/0!</v>
      </c>
      <c r="AB53" s="75" t="e">
        <f>'SERV AEROPORTUARIOS'!AB13/'SERV AEROPORTUARIOS'!AB18</f>
        <v>#DIV/0!</v>
      </c>
      <c r="AC53" s="75">
        <f>'SERV AEROPORTUARIOS'!AC13/'SERV AEROPORTUARIOS'!AC18</f>
        <v>4.044529481707301</v>
      </c>
      <c r="AD53" s="75">
        <f>'SERV AEROPORTUARIOS'!AD13/'SERV AEROPORTUARIOS'!AD18</f>
        <v>2.533080809091389</v>
      </c>
      <c r="AE53" s="75">
        <f>'SERV AEROPORTUARIOS'!AE13/'SERV AEROPORTUARIOS'!AE18</f>
        <v>1.8626038603896242</v>
      </c>
      <c r="AF53" s="75" t="e">
        <f>'SERV AEROPORTUARIOS'!AF13/'SERV AEROPORTUARIOS'!AF18</f>
        <v>#DIV/0!</v>
      </c>
      <c r="AG53" s="75">
        <f>'SERV AEROPORTUARIOS'!AG13/'SERV AEROPORTUARIOS'!AG18</f>
        <v>1.3779155355004735</v>
      </c>
      <c r="AH53" s="75" t="e">
        <f>'SERV AEROPORTUARIOS'!AH13/'SERV AEROPORTUARIOS'!AH18</f>
        <v>#DIV/0!</v>
      </c>
      <c r="AI53" s="75">
        <f>'SERV AEROPORTUARIOS'!AI13/'SERV AEROPORTUARIOS'!AI18</f>
        <v>1.2969983184110947</v>
      </c>
      <c r="AJ53" s="75">
        <f>'SERV AEROPORTUARIOS'!AJ13/'SERV AEROPORTUARIOS'!AJ18</f>
        <v>1.9449215879804793</v>
      </c>
      <c r="AK53" s="75">
        <f>'SERV AEROPORTUARIOS'!AK13/'SERV AEROPORTUARIOS'!AK18</f>
        <v>1.9836247512901108</v>
      </c>
      <c r="AL53" s="75">
        <f>'SERV AEROPORTUARIOS'!AL13/'SERV AEROPORTUARIOS'!AL18</f>
        <v>1.7890502338616083</v>
      </c>
      <c r="AM53" s="75">
        <f>'SERV AEROPORTUARIOS'!AM13/'SERV AEROPORTUARIOS'!AM18</f>
        <v>1.8463343641852599</v>
      </c>
      <c r="AN53" s="75">
        <f>'SERV AEROPORTUARIOS'!AN13/'SERV AEROPORTUARIOS'!AN18</f>
        <v>5.202030031915257</v>
      </c>
      <c r="AO53" s="75">
        <f>'SERV AEROPORTUARIOS'!AO13/'SERV AEROPORTUARIOS'!AO18</f>
        <v>1.551182365601256</v>
      </c>
      <c r="AP53" s="75">
        <f>'SERV AEROPORTUARIOS'!AP13/'SERV AEROPORTUARIOS'!AP18</f>
        <v>1.6041464094400322</v>
      </c>
      <c r="AQ53" s="75">
        <f>'SERV AEROPORTUARIOS'!AQ13/'SERV AEROPORTUARIOS'!AQ18</f>
        <v>1.6842976245303998</v>
      </c>
      <c r="AR53" s="75" t="e">
        <f>'SERV AEROPORTUARIOS'!AR13/'SERV AEROPORTUARIOS'!AR18</f>
        <v>#DIV/0!</v>
      </c>
      <c r="AS53" s="75">
        <f>'SERV AEROPORTUARIOS'!AS13/'SERV AEROPORTUARIOS'!AS18</f>
        <v>7.496965708773507</v>
      </c>
      <c r="AT53"/>
    </row>
    <row r="54" spans="1:46" ht="12.75">
      <c r="A54" s="55" t="s">
        <v>62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/>
    </row>
    <row r="55" spans="1:46" ht="12.75">
      <c r="A55" s="77" t="s">
        <v>67</v>
      </c>
      <c r="B55" s="75">
        <f>'SERV AEROPORTUARIOS'!B24/'SERV AEROPORTUARIOS'!B13</f>
        <v>0.415827721983616</v>
      </c>
      <c r="C55" s="75">
        <f>'SERV AEROPORTUARIOS'!C24/'SERV AEROPORTUARIOS'!C13</f>
        <v>0.4203182899306498</v>
      </c>
      <c r="D55" s="75">
        <f>'SERV AEROPORTUARIOS'!D24/'SERV AEROPORTUARIOS'!D13</f>
        <v>0.2143513643177962</v>
      </c>
      <c r="E55" s="75">
        <f>'SERV AEROPORTUARIOS'!E24/'SERV AEROPORTUARIOS'!E13</f>
        <v>0.19619090227452976</v>
      </c>
      <c r="F55" s="75">
        <f>'SERV AEROPORTUARIOS'!F24/'SERV AEROPORTUARIOS'!F13</f>
        <v>0.5708467824275011</v>
      </c>
      <c r="G55" s="75">
        <f>'SERV AEROPORTUARIOS'!G24/'SERV AEROPORTUARIOS'!G13</f>
        <v>0.6062620751522507</v>
      </c>
      <c r="H55" s="75">
        <f>'SERV AEROPORTUARIOS'!H24/'SERV AEROPORTUARIOS'!H13</f>
        <v>0.5376023455325671</v>
      </c>
      <c r="I55" s="75">
        <f>'SERV AEROPORTUARIOS'!I24/'SERV AEROPORTUARIOS'!I13</f>
        <v>0.694933664359622</v>
      </c>
      <c r="J55" s="75">
        <f>'SERV AEROPORTUARIOS'!J24/'SERV AEROPORTUARIOS'!J13</f>
        <v>0.7960526760667413</v>
      </c>
      <c r="K55" s="75">
        <f>'SERV AEROPORTUARIOS'!K24/'SERV AEROPORTUARIOS'!K13</f>
        <v>0.8311694672040826</v>
      </c>
      <c r="L55" s="75">
        <f>'SERV AEROPORTUARIOS'!L24/'SERV AEROPORTUARIOS'!L13</f>
        <v>0.6968282302672689</v>
      </c>
      <c r="M55" s="75">
        <f>'SERV AEROPORTUARIOS'!M24/'SERV AEROPORTUARIOS'!M13</f>
        <v>0.6394936098054042</v>
      </c>
      <c r="N55" s="75">
        <f>'SERV AEROPORTUARIOS'!N24/'SERV AEROPORTUARIOS'!N13</f>
        <v>0.32255166063934554</v>
      </c>
      <c r="O55" s="75">
        <f>'SERV AEROPORTUARIOS'!O24/'SERV AEROPORTUARIOS'!O13</f>
        <v>0.2812173683074597</v>
      </c>
      <c r="P55" s="75">
        <f>'SERV AEROPORTUARIOS'!P24/'SERV AEROPORTUARIOS'!P13</f>
        <v>0.41538837495791037</v>
      </c>
      <c r="Q55" s="75">
        <f>'SERV AEROPORTUARIOS'!Q24/'SERV AEROPORTUARIOS'!Q13</f>
        <v>0.47633197353009804</v>
      </c>
      <c r="R55" s="75">
        <f>'SERV AEROPORTUARIOS'!R24/'SERV AEROPORTUARIOS'!R13</f>
        <v>0.68291085622664</v>
      </c>
      <c r="S55" s="75" t="e">
        <f>'SERV AEROPORTUARIOS'!S24/'SERV AEROPORTUARIOS'!S13</f>
        <v>#DIV/0!</v>
      </c>
      <c r="T55" s="75">
        <f>'SERV AEROPORTUARIOS'!T24/'SERV AEROPORTUARIOS'!T13</f>
        <v>0.2568006966781893</v>
      </c>
      <c r="U55" s="75">
        <f>'SERV AEROPORTUARIOS'!U24/'SERV AEROPORTUARIOS'!U13</f>
        <v>0.3889077283442172</v>
      </c>
      <c r="V55" s="75">
        <f>'SERV AEROPORTUARIOS'!V24/'SERV AEROPORTUARIOS'!V13</f>
        <v>0.6983270191655285</v>
      </c>
      <c r="W55" s="75" t="e">
        <f>'SERV AEROPORTUARIOS'!W24/'SERV AEROPORTUARIOS'!W13</f>
        <v>#DIV/0!</v>
      </c>
      <c r="X55" s="75">
        <f>'SERV AEROPORTUARIOS'!X24/'SERV AEROPORTUARIOS'!X13</f>
        <v>0.6607332110700495</v>
      </c>
      <c r="Y55" s="75">
        <f>'SERV AEROPORTUARIOS'!Y24/'SERV AEROPORTUARIOS'!Y13</f>
        <v>0.6384526180572665</v>
      </c>
      <c r="Z55" s="75">
        <f>'SERV AEROPORTUARIOS'!Z24/'SERV AEROPORTUARIOS'!Z13</f>
        <v>-396.134521484375</v>
      </c>
      <c r="AA55" s="75" t="e">
        <f>'SERV AEROPORTUARIOS'!AA24/'SERV AEROPORTUARIOS'!AA13</f>
        <v>#DIV/0!</v>
      </c>
      <c r="AB55" s="75" t="e">
        <f>'SERV AEROPORTUARIOS'!AB24/'SERV AEROPORTUARIOS'!AB13</f>
        <v>#DIV/0!</v>
      </c>
      <c r="AC55" s="75">
        <f>'SERV AEROPORTUARIOS'!AC24/'SERV AEROPORTUARIOS'!AC13</f>
        <v>0.7527524512992612</v>
      </c>
      <c r="AD55" s="75">
        <f>'SERV AEROPORTUARIOS'!AD24/'SERV AEROPORTUARIOS'!AD13</f>
        <v>0.6052238063582749</v>
      </c>
      <c r="AE55" s="75">
        <f>'SERV AEROPORTUARIOS'!AE24/'SERV AEROPORTUARIOS'!AE13</f>
        <v>0.4631171870379258</v>
      </c>
      <c r="AF55" s="75" t="e">
        <f>'SERV AEROPORTUARIOS'!AF24/'SERV AEROPORTUARIOS'!AF13</f>
        <v>#DIV/0!</v>
      </c>
      <c r="AG55" s="75">
        <f>'SERV AEROPORTUARIOS'!AG24/'SERV AEROPORTUARIOS'!AG13</f>
        <v>0.2742661112121147</v>
      </c>
      <c r="AH55" s="75" t="e">
        <f>'SERV AEROPORTUARIOS'!AH24/'SERV AEROPORTUARIOS'!AH13</f>
        <v>#DIV/0!</v>
      </c>
      <c r="AI55" s="75">
        <f>'SERV AEROPORTUARIOS'!AI24/'SERV AEROPORTUARIOS'!AI13</f>
        <v>0.22898897723702247</v>
      </c>
      <c r="AJ55" s="75">
        <f>'SERV AEROPORTUARIOS'!AJ24/'SERV AEROPORTUARIOS'!AJ13</f>
        <v>0.48584045435047285</v>
      </c>
      <c r="AK55" s="75">
        <f>'SERV AEROPORTUARIOS'!AK24/'SERV AEROPORTUARIOS'!AK13</f>
        <v>0.49587239252302157</v>
      </c>
      <c r="AL55" s="75">
        <f>'SERV AEROPORTUARIOS'!AL24/'SERV AEROPORTUARIOS'!AL13</f>
        <v>0.43889675469599987</v>
      </c>
      <c r="AM55" s="75">
        <f>'SERV AEROPORTUARIOS'!AM24/'SERV AEROPORTUARIOS'!AM13</f>
        <v>0.4583862924342308</v>
      </c>
      <c r="AN55" s="75">
        <f>'SERV AEROPORTUARIOS'!AN24/'SERV AEROPORTUARIOS'!AN13</f>
        <v>0.8077673528282577</v>
      </c>
      <c r="AO55" s="75">
        <f>'SERV AEROPORTUARIOS'!AO24/'SERV AEROPORTUARIOS'!AO13</f>
        <v>0.3553304736991694</v>
      </c>
      <c r="AP55" s="75">
        <f>'SERV AEROPORTUARIOS'!AP24/'SERV AEROPORTUARIOS'!AP13</f>
        <v>0.37661550459781573</v>
      </c>
      <c r="AQ55" s="75">
        <f>'SERV AEROPORTUARIOS'!AQ24/'SERV AEROPORTUARIOS'!AQ13</f>
        <v>0.40628070393508353</v>
      </c>
      <c r="AR55" s="75" t="e">
        <f>'SERV AEROPORTUARIOS'!AR24/'SERV AEROPORTUARIOS'!AR13</f>
        <v>#DIV/0!</v>
      </c>
      <c r="AS55" s="75">
        <f>'SERV AEROPORTUARIOS'!AS24/'SERV AEROPORTUARIOS'!AS13</f>
        <v>0.8666127882611565</v>
      </c>
      <c r="AT55"/>
    </row>
    <row r="56" spans="1:46" ht="12.75">
      <c r="A56" s="55" t="s">
        <v>63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/>
    </row>
    <row r="57" spans="1:46" ht="12.75">
      <c r="A57" s="77" t="s">
        <v>71</v>
      </c>
      <c r="B57" s="75">
        <f>'SERV AEROPORTUARIOS'!B36/'SERV AEROPORTUARIOS'!B28</f>
        <v>0.028655651149539794</v>
      </c>
      <c r="C57" s="75">
        <f>'SERV AEROPORTUARIOS'!C36/'SERV AEROPORTUARIOS'!C28</f>
        <v>0.07556269593109148</v>
      </c>
      <c r="D57" s="75">
        <f>'SERV AEROPORTUARIOS'!D36/'SERV AEROPORTUARIOS'!D28</f>
        <v>0.008158934697680835</v>
      </c>
      <c r="E57" s="75">
        <f>'SERV AEROPORTUARIOS'!E36/'SERV AEROPORTUARIOS'!E28</f>
        <v>0.011360839066372344</v>
      </c>
      <c r="F57" s="75">
        <f>'SERV AEROPORTUARIOS'!F36/'SERV AEROPORTUARIOS'!F28</f>
        <v>-25.876562013690844</v>
      </c>
      <c r="G57" s="75">
        <f>'SERV AEROPORTUARIOS'!G36/'SERV AEROPORTUARIOS'!G28</f>
        <v>0.0637214000378307</v>
      </c>
      <c r="H57" s="75">
        <f>'SERV AEROPORTUARIOS'!H36/'SERV AEROPORTUARIOS'!H28</f>
        <v>0.043645036468844586</v>
      </c>
      <c r="I57" s="75">
        <f>'SERV AEROPORTUARIOS'!I36/'SERV AEROPORTUARIOS'!I28</f>
        <v>0.024540402073340926</v>
      </c>
      <c r="J57" s="75">
        <f>'SERV AEROPORTUARIOS'!J36/'SERV AEROPORTUARIOS'!J28</f>
        <v>0.06169596556204828</v>
      </c>
      <c r="K57" s="75">
        <f>'SERV AEROPORTUARIOS'!K36/'SERV AEROPORTUARIOS'!K28</f>
        <v>0.03385031888660201</v>
      </c>
      <c r="L57" s="75">
        <f>'SERV AEROPORTUARIOS'!L36/'SERV AEROPORTUARIOS'!L28</f>
        <v>0.08781496948270219</v>
      </c>
      <c r="M57" s="75">
        <f>'SERV AEROPORTUARIOS'!M36/'SERV AEROPORTUARIOS'!M28</f>
        <v>0.08856579967096866</v>
      </c>
      <c r="N57" s="75">
        <f>'SERV AEROPORTUARIOS'!N36/'SERV AEROPORTUARIOS'!N28</f>
        <v>0.04520812172831149</v>
      </c>
      <c r="O57" s="75">
        <f>'SERV AEROPORTUARIOS'!O36/'SERV AEROPORTUARIOS'!O28</f>
        <v>0.03383603406561196</v>
      </c>
      <c r="P57" s="75">
        <f>'SERV AEROPORTUARIOS'!P36/'SERV AEROPORTUARIOS'!P28</f>
        <v>0.07914694082927082</v>
      </c>
      <c r="Q57" s="75">
        <f>'SERV AEROPORTUARIOS'!Q36/'SERV AEROPORTUARIOS'!Q28</f>
        <v>0.09830411488450998</v>
      </c>
      <c r="R57" s="75">
        <f>'SERV AEROPORTUARIOS'!R36/'SERV AEROPORTUARIOS'!R28</f>
        <v>-0.17542699713360865</v>
      </c>
      <c r="S57" s="75" t="e">
        <f>'SERV AEROPORTUARIOS'!S36/'SERV AEROPORTUARIOS'!S28</f>
        <v>#DIV/0!</v>
      </c>
      <c r="T57" s="75">
        <f>'SERV AEROPORTUARIOS'!T36/'SERV AEROPORTUARIOS'!T28</f>
        <v>0.32781088810416814</v>
      </c>
      <c r="U57" s="75">
        <f>'SERV AEROPORTUARIOS'!U36/'SERV AEROPORTUARIOS'!U28</f>
        <v>0.26042318642289425</v>
      </c>
      <c r="V57" s="75">
        <f>'SERV AEROPORTUARIOS'!V36/'SERV AEROPORTUARIOS'!V28</f>
        <v>-0.10466306846728887</v>
      </c>
      <c r="W57" s="75" t="e">
        <f>'SERV AEROPORTUARIOS'!W36/'SERV AEROPORTUARIOS'!W28</f>
        <v>#DIV/0!</v>
      </c>
      <c r="X57" s="75">
        <f>'SERV AEROPORTUARIOS'!X36/'SERV AEROPORTUARIOS'!X28</f>
        <v>0.12087912087912088</v>
      </c>
      <c r="Y57" s="75">
        <f>'SERV AEROPORTUARIOS'!Y36/'SERV AEROPORTUARIOS'!Y28</f>
        <v>0.07743067628534789</v>
      </c>
      <c r="Z57" s="75" t="e">
        <f>'SERV AEROPORTUARIOS'!Z36/'SERV AEROPORTUARIOS'!Z28</f>
        <v>#DIV/0!</v>
      </c>
      <c r="AA57" s="75" t="e">
        <f>'SERV AEROPORTUARIOS'!AA36/'SERV AEROPORTUARIOS'!AA28</f>
        <v>#DIV/0!</v>
      </c>
      <c r="AB57" s="75" t="e">
        <f>'SERV AEROPORTUARIOS'!AB36/'SERV AEROPORTUARIOS'!AB28</f>
        <v>#DIV/0!</v>
      </c>
      <c r="AC57" s="75">
        <f>'SERV AEROPORTUARIOS'!AC36/'SERV AEROPORTUARIOS'!AC28</f>
        <v>0.13975460223473254</v>
      </c>
      <c r="AD57" s="75">
        <f>'SERV AEROPORTUARIOS'!AD36/'SERV AEROPORTUARIOS'!AD28</f>
        <v>0.2353605887753163</v>
      </c>
      <c r="AE57" s="75">
        <f>'SERV AEROPORTUARIOS'!AE36/'SERV AEROPORTUARIOS'!AE28</f>
        <v>0.21220656490920847</v>
      </c>
      <c r="AF57" s="75" t="e">
        <f>'SERV AEROPORTUARIOS'!AF36/'SERV AEROPORTUARIOS'!AF28</f>
        <v>#DIV/0!</v>
      </c>
      <c r="AG57" s="75">
        <f>'SERV AEROPORTUARIOS'!AG36/'SERV AEROPORTUARIOS'!AG28</f>
        <v>-0.08227942610492268</v>
      </c>
      <c r="AH57" s="75" t="e">
        <f>'SERV AEROPORTUARIOS'!AH36/'SERV AEROPORTUARIOS'!AH28</f>
        <v>#DIV/0!</v>
      </c>
      <c r="AI57" s="75">
        <f>'SERV AEROPORTUARIOS'!AI36/'SERV AEROPORTUARIOS'!AI28</f>
        <v>0.06028974354602154</v>
      </c>
      <c r="AJ57" s="75">
        <f>'SERV AEROPORTUARIOS'!AJ36/'SERV AEROPORTUARIOS'!AJ28</f>
        <v>0.06548158256299301</v>
      </c>
      <c r="AK57" s="75">
        <f>'SERV AEROPORTUARIOS'!AK36/'SERV AEROPORTUARIOS'!AK28</f>
        <v>0.0356531430320934</v>
      </c>
      <c r="AL57" s="75">
        <f>'SERV AEROPORTUARIOS'!AL36/'SERV AEROPORTUARIOS'!AL28</f>
        <v>-0.6592734393585474</v>
      </c>
      <c r="AM57" s="75">
        <f>'SERV AEROPORTUARIOS'!AM36/'SERV AEROPORTUARIOS'!AM28</f>
        <v>-0.177146020084559</v>
      </c>
      <c r="AN57" s="75">
        <f>'SERV AEROPORTUARIOS'!AN36/'SERV AEROPORTUARIOS'!AN28</f>
        <v>0.03575379958916049</v>
      </c>
      <c r="AO57" s="75">
        <f>'SERV AEROPORTUARIOS'!AO36/'SERV AEROPORTUARIOS'!AO28</f>
        <v>0.04383636647337064</v>
      </c>
      <c r="AP57" s="75">
        <f>'SERV AEROPORTUARIOS'!AP36/'SERV AEROPORTUARIOS'!AP28</f>
        <v>0.21793242622430728</v>
      </c>
      <c r="AQ57" s="75">
        <f>'SERV AEROPORTUARIOS'!AQ36/'SERV AEROPORTUARIOS'!AQ28</f>
        <v>0.5905486921491201</v>
      </c>
      <c r="AR57" s="75" t="e">
        <f>'SERV AEROPORTUARIOS'!AR36/'SERV AEROPORTUARIOS'!AR28</f>
        <v>#DIV/0!</v>
      </c>
      <c r="AS57" s="75">
        <f>'SERV AEROPORTUARIOS'!AS36/'SERV AEROPORTUARIOS'!AS28</f>
        <v>0.21088962169791525</v>
      </c>
      <c r="AT57"/>
    </row>
    <row r="58" spans="1:46" ht="12.75">
      <c r="A58" s="77" t="s">
        <v>64</v>
      </c>
      <c r="B58" s="75">
        <f>'SERV AEROPORTUARIOS'!B37/'SERV AEROPORTUARIOS'!B30</f>
        <v>0.03460691689588254</v>
      </c>
      <c r="C58" s="75">
        <f>'SERV AEROPORTUARIOS'!C37/'SERV AEROPORTUARIOS'!C30</f>
        <v>0.07087852182271927</v>
      </c>
      <c r="D58" s="75">
        <f>'SERV AEROPORTUARIOS'!D37/'SERV AEROPORTUARIOS'!D30</f>
        <v>0</v>
      </c>
      <c r="E58" s="75">
        <f>'SERV AEROPORTUARIOS'!E37/'SERV AEROPORTUARIOS'!E30</f>
        <v>0.00023197238245692387</v>
      </c>
      <c r="F58" s="75">
        <f>'SERV AEROPORTUARIOS'!F37/'SERV AEROPORTUARIOS'!F30</f>
        <v>-32.45836649464559</v>
      </c>
      <c r="G58" s="75">
        <f>'SERV AEROPORTUARIOS'!G37/'SERV AEROPORTUARIOS'!G30</f>
        <v>-0.1829104493146852</v>
      </c>
      <c r="H58" s="75">
        <f>'SERV AEROPORTUARIOS'!H37/'SERV AEROPORTUARIOS'!H30</f>
        <v>0.00016272140734138903</v>
      </c>
      <c r="I58" s="75">
        <f>'SERV AEROPORTUARIOS'!I37/'SERV AEROPORTUARIOS'!I30</f>
        <v>-0.010186652558844333</v>
      </c>
      <c r="J58" s="75">
        <f>'SERV AEROPORTUARIOS'!J37/'SERV AEROPORTUARIOS'!J30</f>
        <v>0.016136208398348152</v>
      </c>
      <c r="K58" s="75">
        <f>'SERV AEROPORTUARIOS'!K37/'SERV AEROPORTUARIOS'!K30</f>
        <v>-0.002041728824739764</v>
      </c>
      <c r="L58" s="75">
        <f>'SERV AEROPORTUARIOS'!L37/'SERV AEROPORTUARIOS'!L30</f>
        <v>0.07559042535392212</v>
      </c>
      <c r="M58" s="75">
        <f>'SERV AEROPORTUARIOS'!M37/'SERV AEROPORTUARIOS'!M30</f>
        <v>0.05594649148508588</v>
      </c>
      <c r="N58" s="75">
        <f>'SERV AEROPORTUARIOS'!N37/'SERV AEROPORTUARIOS'!N30</f>
        <v>0.033373903060062875</v>
      </c>
      <c r="O58" s="75">
        <f>'SERV AEROPORTUARIOS'!O37/'SERV AEROPORTUARIOS'!O30</f>
        <v>0.020247943213708017</v>
      </c>
      <c r="P58" s="75">
        <f>'SERV AEROPORTUARIOS'!P37/'SERV AEROPORTUARIOS'!P30</f>
        <v>0.007599647209505839</v>
      </c>
      <c r="Q58" s="75">
        <f>'SERV AEROPORTUARIOS'!Q37/'SERV AEROPORTUARIOS'!Q30</f>
        <v>0.05852916089087712</v>
      </c>
      <c r="R58" s="75">
        <f>'SERV AEROPORTUARIOS'!R37/'SERV AEROPORTUARIOS'!R30</f>
        <v>0</v>
      </c>
      <c r="S58" s="75" t="e">
        <f>'SERV AEROPORTUARIOS'!S37/'SERV AEROPORTUARIOS'!S30</f>
        <v>#DIV/0!</v>
      </c>
      <c r="T58" s="75">
        <f>'SERV AEROPORTUARIOS'!T37/'SERV AEROPORTUARIOS'!T30</f>
        <v>0.12759052887341607</v>
      </c>
      <c r="U58" s="75">
        <f>'SERV AEROPORTUARIOS'!U37/'SERV AEROPORTUARIOS'!U30</f>
        <v>0.17000510180964637</v>
      </c>
      <c r="V58" s="75">
        <f>'SERV AEROPORTUARIOS'!V37/'SERV AEROPORTUARIOS'!V30</f>
        <v>0</v>
      </c>
      <c r="W58" s="75" t="e">
        <f>'SERV AEROPORTUARIOS'!W37/'SERV AEROPORTUARIOS'!W30</f>
        <v>#DIV/0!</v>
      </c>
      <c r="X58" s="75">
        <f>'SERV AEROPORTUARIOS'!X37/'SERV AEROPORTUARIOS'!X30</f>
        <v>0.12087912087912088</v>
      </c>
      <c r="Y58" s="75">
        <f>'SERV AEROPORTUARIOS'!Y37/'SERV AEROPORTUARIOS'!Y30</f>
        <v>0.07743067628534789</v>
      </c>
      <c r="Z58" s="75" t="e">
        <f>'SERV AEROPORTUARIOS'!Z37/'SERV AEROPORTUARIOS'!Z30</f>
        <v>#DIV/0!</v>
      </c>
      <c r="AA58" s="75" t="e">
        <f>'SERV AEROPORTUARIOS'!AA37/'SERV AEROPORTUARIOS'!AA30</f>
        <v>#DIV/0!</v>
      </c>
      <c r="AB58" s="75" t="e">
        <f>'SERV AEROPORTUARIOS'!AB37/'SERV AEROPORTUARIOS'!AB30</f>
        <v>#DIV/0!</v>
      </c>
      <c r="AC58" s="75">
        <f>'SERV AEROPORTUARIOS'!AC37/'SERV AEROPORTUARIOS'!AC30</f>
        <v>0.16120198424421886</v>
      </c>
      <c r="AD58" s="75">
        <f>'SERV AEROPORTUARIOS'!AD37/'SERV AEROPORTUARIOS'!AD30</f>
        <v>0.1287464253226712</v>
      </c>
      <c r="AE58" s="75">
        <f>'SERV AEROPORTUARIOS'!AE37/'SERV AEROPORTUARIOS'!AE30</f>
        <v>0.13181542384913228</v>
      </c>
      <c r="AF58" s="75" t="e">
        <f>'SERV AEROPORTUARIOS'!AF37/'SERV AEROPORTUARIOS'!AF30</f>
        <v>#DIV/0!</v>
      </c>
      <c r="AG58" s="75">
        <f>'SERV AEROPORTUARIOS'!AG37/'SERV AEROPORTUARIOS'!AG30</f>
        <v>0.02943784811978918</v>
      </c>
      <c r="AH58" s="75" t="e">
        <f>'SERV AEROPORTUARIOS'!AH37/'SERV AEROPORTUARIOS'!AH30</f>
        <v>#DIV/0!</v>
      </c>
      <c r="AI58" s="75">
        <f>'SERV AEROPORTUARIOS'!AI37/'SERV AEROPORTUARIOS'!AI30</f>
        <v>-0.36135903955064813</v>
      </c>
      <c r="AJ58" s="75">
        <f>'SERV AEROPORTUARIOS'!AJ37/'SERV AEROPORTUARIOS'!AJ30</f>
        <v>0.040621788864694634</v>
      </c>
      <c r="AK58" s="75">
        <f>'SERV AEROPORTUARIOS'!AK37/'SERV AEROPORTUARIOS'!AK30</f>
        <v>0.035927958720002116</v>
      </c>
      <c r="AL58" s="75">
        <f>'SERV AEROPORTUARIOS'!AL37/'SERV AEROPORTUARIOS'!AL30</f>
        <v>0.003039242607962534</v>
      </c>
      <c r="AM58" s="75">
        <f>'SERV AEROPORTUARIOS'!AM37/'SERV AEROPORTUARIOS'!AM30</f>
        <v>0.012494105457785428</v>
      </c>
      <c r="AN58" s="75">
        <f>'SERV AEROPORTUARIOS'!AN37/'SERV AEROPORTUARIOS'!AN30</f>
        <v>0.01085446294527524</v>
      </c>
      <c r="AO58" s="75">
        <f>'SERV AEROPORTUARIOS'!AO37/'SERV AEROPORTUARIOS'!AO30</f>
        <v>0.029488715208621136</v>
      </c>
      <c r="AP58" s="75">
        <f>'SERV AEROPORTUARIOS'!AP37/'SERV AEROPORTUARIOS'!AP30</f>
        <v>0.07104054532544331</v>
      </c>
      <c r="AQ58" s="75">
        <f>'SERV AEROPORTUARIOS'!AQ37/'SERV AEROPORTUARIOS'!AQ30</f>
        <v>0.5457164826624826</v>
      </c>
      <c r="AR58" s="75" t="e">
        <f>'SERV AEROPORTUARIOS'!AR37/'SERV AEROPORTUARIOS'!AR30</f>
        <v>#DIV/0!</v>
      </c>
      <c r="AS58" s="75">
        <f>'SERV AEROPORTUARIOS'!AS37/'SERV AEROPORTUARIOS'!AS30</f>
        <v>0.14777372481143203</v>
      </c>
      <c r="AT58"/>
    </row>
    <row r="59" spans="1:46" ht="12.75">
      <c r="A59" s="55" t="s">
        <v>65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/>
    </row>
    <row r="60" spans="1:46" ht="13.5" thickBot="1">
      <c r="A60" s="79" t="s">
        <v>66</v>
      </c>
      <c r="B60" s="80">
        <f>'SERV AEROPORTUARIOS'!B10-'SERV AEROPORTUARIOS'!B15</f>
        <v>8071130.987549998</v>
      </c>
      <c r="C60" s="80">
        <f>'SERV AEROPORTUARIOS'!C10-'SERV AEROPORTUARIOS'!C15</f>
        <v>10387998.030999996</v>
      </c>
      <c r="D60" s="80">
        <f>'SERV AEROPORTUARIOS'!D10-'SERV AEROPORTUARIOS'!D15</f>
        <v>-27340</v>
      </c>
      <c r="E60" s="80">
        <f>'SERV AEROPORTUARIOS'!E10-'SERV AEROPORTUARIOS'!E15</f>
        <v>-16998</v>
      </c>
      <c r="F60" s="80">
        <f>'SERV AEROPORTUARIOS'!F10-'SERV AEROPORTUARIOS'!F15</f>
        <v>-33493.35177</v>
      </c>
      <c r="G60" s="80">
        <f>'SERV AEROPORTUARIOS'!G10-'SERV AEROPORTUARIOS'!G15</f>
        <v>-16090.470000000005</v>
      </c>
      <c r="H60" s="80">
        <f>'SERV AEROPORTUARIOS'!H10-'SERV AEROPORTUARIOS'!H15</f>
        <v>84736.02599999998</v>
      </c>
      <c r="I60" s="80">
        <f>'SERV AEROPORTUARIOS'!I10-'SERV AEROPORTUARIOS'!I15</f>
        <v>64974.45399999998</v>
      </c>
      <c r="J60" s="80">
        <f>'SERV AEROPORTUARIOS'!J10-'SERV AEROPORTUARIOS'!J15</f>
        <v>367907</v>
      </c>
      <c r="K60" s="80">
        <f>'SERV AEROPORTUARIOS'!K10-'SERV AEROPORTUARIOS'!K15</f>
        <v>418337</v>
      </c>
      <c r="L60" s="80">
        <f>'SERV AEROPORTUARIOS'!L10-'SERV AEROPORTUARIOS'!L15</f>
        <v>203043.28188999998</v>
      </c>
      <c r="M60" s="80">
        <f>'SERV AEROPORTUARIOS'!M10-'SERV AEROPORTUARIOS'!M15</f>
        <v>216023.40099999995</v>
      </c>
      <c r="N60" s="80">
        <f>'SERV AEROPORTUARIOS'!N10-'SERV AEROPORTUARIOS'!N15</f>
        <v>208818.36199999973</v>
      </c>
      <c r="O60" s="80">
        <f>'SERV AEROPORTUARIOS'!O10-'SERV AEROPORTUARIOS'!O15</f>
        <v>-580992.1259999997</v>
      </c>
      <c r="P60" s="80">
        <f>'SERV AEROPORTUARIOS'!P10-'SERV AEROPORTUARIOS'!P15</f>
        <v>490891.5784300001</v>
      </c>
      <c r="Q60" s="80">
        <f>'SERV AEROPORTUARIOS'!Q10-'SERV AEROPORTUARIOS'!Q15</f>
        <v>760799.844</v>
      </c>
      <c r="R60" s="80">
        <f>'SERV AEROPORTUARIOS'!R10-'SERV AEROPORTUARIOS'!R15</f>
        <v>-10396</v>
      </c>
      <c r="S60" s="80">
        <f>'SERV AEROPORTUARIOS'!S10-'SERV AEROPORTUARIOS'!S15</f>
        <v>0</v>
      </c>
      <c r="T60" s="80">
        <f>'SERV AEROPORTUARIOS'!T10-'SERV AEROPORTUARIOS'!T15</f>
        <v>1620624.591</v>
      </c>
      <c r="U60" s="80">
        <f>'SERV AEROPORTUARIOS'!U10-'SERV AEROPORTUARIOS'!U15</f>
        <v>3241438</v>
      </c>
      <c r="V60" s="80">
        <f>'SERV AEROPORTUARIOS'!V10-'SERV AEROPORTUARIOS'!V15</f>
        <v>2147975</v>
      </c>
      <c r="W60" s="80">
        <f>'SERV AEROPORTUARIOS'!W10-'SERV AEROPORTUARIOS'!W15</f>
        <v>0</v>
      </c>
      <c r="X60" s="80">
        <f>'SERV AEROPORTUARIOS'!X10-'SERV AEROPORTUARIOS'!X15</f>
        <v>60307</v>
      </c>
      <c r="Y60" s="80">
        <f>'SERV AEROPORTUARIOS'!Y10-'SERV AEROPORTUARIOS'!Y15</f>
        <v>91762.22</v>
      </c>
      <c r="Z60" s="80">
        <f>'SERV AEROPORTUARIOS'!Z10-'SERV AEROPORTUARIOS'!Z15</f>
        <v>-1622567</v>
      </c>
      <c r="AA60" s="80">
        <f>'SERV AEROPORTUARIOS'!AA10-'SERV AEROPORTUARIOS'!AA15</f>
        <v>0</v>
      </c>
      <c r="AB60" s="80">
        <f>'SERV AEROPORTUARIOS'!AB10-'SERV AEROPORTUARIOS'!AB15</f>
        <v>0</v>
      </c>
      <c r="AC60" s="80">
        <f>'SERV AEROPORTUARIOS'!AC10-'SERV AEROPORTUARIOS'!AC15</f>
        <v>384988.093</v>
      </c>
      <c r="AD60" s="80">
        <f>'SERV AEROPORTUARIOS'!AD10-'SERV AEROPORTUARIOS'!AD15</f>
        <v>9858.283</v>
      </c>
      <c r="AE60" s="80">
        <f>'SERV AEROPORTUARIOS'!AE10-'SERV AEROPORTUARIOS'!AE15</f>
        <v>46147.09</v>
      </c>
      <c r="AF60" s="80">
        <f>'SERV AEROPORTUARIOS'!AF10-'SERV AEROPORTUARIOS'!AF15</f>
        <v>0</v>
      </c>
      <c r="AG60" s="80">
        <f>'SERV AEROPORTUARIOS'!AG10-'SERV AEROPORTUARIOS'!AG15</f>
        <v>-1244288</v>
      </c>
      <c r="AH60" s="80">
        <f>'SERV AEROPORTUARIOS'!AH10-'SERV AEROPORTUARIOS'!AH15</f>
        <v>0</v>
      </c>
      <c r="AI60" s="80">
        <f>'SERV AEROPORTUARIOS'!AI10-'SERV AEROPORTUARIOS'!AI15</f>
        <v>-46820.57799999998</v>
      </c>
      <c r="AJ60" s="80">
        <f>'SERV AEROPORTUARIOS'!AJ10-'SERV AEROPORTUARIOS'!AJ15</f>
        <v>1703141</v>
      </c>
      <c r="AK60" s="80">
        <f>'SERV AEROPORTUARIOS'!AK10-'SERV AEROPORTUARIOS'!AK15</f>
        <v>1775311</v>
      </c>
      <c r="AL60" s="80">
        <f>'SERV AEROPORTUARIOS'!AL10-'SERV AEROPORTUARIOS'!AL15</f>
        <v>1445438.0909999998</v>
      </c>
      <c r="AM60" s="80">
        <f>'SERV AEROPORTUARIOS'!AM10-'SERV AEROPORTUARIOS'!AM15</f>
        <v>1713892.9189999998</v>
      </c>
      <c r="AN60" s="80">
        <f>'SERV AEROPORTUARIOS'!AN10-'SERV AEROPORTUARIOS'!AN15</f>
        <v>1048550.291</v>
      </c>
      <c r="AO60" s="80">
        <f>'SERV AEROPORTUARIOS'!AO10-'SERV AEROPORTUARIOS'!AO15</f>
        <v>1248474.4819999998</v>
      </c>
      <c r="AP60" s="80">
        <f>'SERV AEROPORTUARIOS'!AP10-'SERV AEROPORTUARIOS'!AP15</f>
        <v>373636.8350000002</v>
      </c>
      <c r="AQ60" s="80">
        <f>'SERV AEROPORTUARIOS'!AQ10-'SERV AEROPORTUARIOS'!AQ15</f>
        <v>1048109.2639999995</v>
      </c>
      <c r="AR60" s="80">
        <f>'SERV AEROPORTUARIOS'!AR10-'SERV AEROPORTUARIOS'!AR15</f>
        <v>0</v>
      </c>
      <c r="AS60" s="80">
        <f>'SERV AEROPORTUARIOS'!AS10-'SERV AEROPORTUARIOS'!AS15</f>
        <v>1282929.438</v>
      </c>
      <c r="AT60"/>
    </row>
    <row r="61" spans="1:46" ht="12.75">
      <c r="A61" s="51" t="s">
        <v>101</v>
      </c>
      <c r="AT61"/>
    </row>
  </sheetData>
  <sheetProtection/>
  <mergeCells count="22">
    <mergeCell ref="AR6:AS6"/>
    <mergeCell ref="AN6:AO6"/>
    <mergeCell ref="AP6:AQ6"/>
    <mergeCell ref="AJ6:AK6"/>
    <mergeCell ref="AL6:AM6"/>
    <mergeCell ref="H6:I6"/>
    <mergeCell ref="J6:K6"/>
    <mergeCell ref="AH6:AI6"/>
    <mergeCell ref="T6:U6"/>
    <mergeCell ref="V6:W6"/>
    <mergeCell ref="X6:Y6"/>
    <mergeCell ref="Z6:AA6"/>
    <mergeCell ref="B6:C6"/>
    <mergeCell ref="AB6:AC6"/>
    <mergeCell ref="AD6:AE6"/>
    <mergeCell ref="AF6:AG6"/>
    <mergeCell ref="L6:M6"/>
    <mergeCell ref="N6:O6"/>
    <mergeCell ref="P6:Q6"/>
    <mergeCell ref="R6:S6"/>
    <mergeCell ref="D6:E6"/>
    <mergeCell ref="F6:G6"/>
  </mergeCells>
  <printOptions/>
  <pageMargins left="0.75" right="0.75" top="1" bottom="1" header="0" footer="0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Anexos 2</dc:title>
  <dc:subject/>
  <dc:creator>PC Familiar</dc:creator>
  <cp:keywords/>
  <dc:description/>
  <cp:lastModifiedBy>41738069</cp:lastModifiedBy>
  <cp:lastPrinted>2010-06-03T21:35:33Z</cp:lastPrinted>
  <dcterms:created xsi:type="dcterms:W3CDTF">2000-07-06T11:08:14Z</dcterms:created>
  <dcterms:modified xsi:type="dcterms:W3CDTF">2010-08-20T16:18:31Z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AEVVZYF6TF2M-623-18</vt:lpwstr>
  </property>
  <property fmtid="{D5CDD505-2E9C-101B-9397-08002B2CF9AE}" pid="4" name="_dlc_DocIdItemGu">
    <vt:lpwstr>df7529de-c90c-408e-82df-1edc4256177e</vt:lpwstr>
  </property>
  <property fmtid="{D5CDD505-2E9C-101B-9397-08002B2CF9AE}" pid="5" name="_dlc_DocIdU">
    <vt:lpwstr>http://bog127/AAeronautica/Estadisticas/TAereo/_layouts/DocIdRedir.aspx?ID=AEVVZYF6TF2M-623-18, AEVVZYF6TF2M-623-18</vt:lpwstr>
  </property>
  <property fmtid="{D5CDD505-2E9C-101B-9397-08002B2CF9AE}" pid="6" name="Cla">
    <vt:lpwstr>ESTADÍSTICAS FINANCIERAS</vt:lpwstr>
  </property>
  <property fmtid="{D5CDD505-2E9C-101B-9397-08002B2CF9AE}" pid="7" name="Secci">
    <vt:lpwstr>Estadísticas Financieras</vt:lpwstr>
  </property>
  <property fmtid="{D5CDD505-2E9C-101B-9397-08002B2CF9AE}" pid="8" name="Ord">
    <vt:lpwstr>02</vt:lpwstr>
  </property>
  <property fmtid="{D5CDD505-2E9C-101B-9397-08002B2CF9AE}" pid="9" name="Filt">
    <vt:lpwstr>INFORMES 2009</vt:lpwstr>
  </property>
  <property fmtid="{D5CDD505-2E9C-101B-9397-08002B2CF9AE}" pid="10" name="Forma">
    <vt:lpwstr>/Style%20Library/Images/xls.svg</vt:lpwstr>
  </property>
</Properties>
</file>